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4861" yWindow="600" windowWidth="19200" windowHeight="7305" tabRatio="900" activeTab="0"/>
  </bookViews>
  <sheets>
    <sheet name="작성안내" sheetId="10" r:id="rId1"/>
    <sheet name="제출목록" sheetId="17" r:id="rId2"/>
    <sheet name="기본정보입력" sheetId="14" r:id="rId3"/>
    <sheet name="입학점수산출표" sheetId="8" r:id="rId4"/>
    <sheet name="입학원서" sheetId="2" r:id="rId5"/>
    <sheet name="수험표" sheetId="1" r:id="rId6"/>
    <sheet name="부정입학방지_확인서(특별전형)" sheetId="15" r:id="rId7"/>
    <sheet name="기초자료" sheetId="16" state="hidden" r:id="rId8"/>
    <sheet name="전형처리 데이터" sheetId="13" state="hidden" r:id="rId9"/>
    <sheet name="교육청_업로드" sheetId="18" state="hidden" r:id="rId10"/>
  </sheets>
  <definedNames>
    <definedName name="_xlnm.Print_Area" localSheetId="2">'기본정보입력'!$A$1:$R$37</definedName>
    <definedName name="_xlnm.Print_Area" localSheetId="6">'부정입학방지_확인서(특별전형)'!$B$1:$G$23</definedName>
    <definedName name="_xlnm.Print_Area" localSheetId="5">'수험표'!$A$1:$R$41</definedName>
    <definedName name="_xlnm.Print_Area" localSheetId="4">'입학원서'!$A$1:$X$38</definedName>
    <definedName name="_xlnm.Print_Area" localSheetId="3">'입학점수산출표'!$A$1:$Q$39</definedName>
    <definedName name="_xlnm.Print_Area" localSheetId="0">'작성안내'!$A$2:$B$26</definedName>
    <definedName name="_xlnm.Print_Area" localSheetId="1">'제출목록'!$A$1:$D$43</definedName>
    <definedName name="Version">'입학점수산출표'!$P$1</definedName>
    <definedName name="가중치_기가">'입학점수산출표'!$O$28</definedName>
    <definedName name="가중치_기가_졸업">'입학점수산출표'!$AI$19</definedName>
    <definedName name="가중치_기가_졸업예정">'입학점수산출표'!$AH$19</definedName>
    <definedName name="가중치_기가배점">'입학점수산출표'!$AE$60</definedName>
    <definedName name="가중치_기가성취도_졸업">'입학점수산출표'!$AI$13</definedName>
    <definedName name="가중치_기가성취도_졸업예정">'입학점수산출표'!$AH$13</definedName>
    <definedName name="가중치_성취도평균_기가">'입학점수산출표'!$O$27</definedName>
    <definedName name="가중치_성취도평균_수학">'입학점수산출표'!$N$27</definedName>
    <definedName name="가중치_성취도평균_영어">'입학점수산출표'!$P$27</definedName>
    <definedName name="가중치_수학">'입학점수산출표'!$N$28</definedName>
    <definedName name="가중치_수학_졸업">'입학점수산출표'!$AI$18</definedName>
    <definedName name="가중치_수학_졸업예정">'입학점수산출표'!$AH$18</definedName>
    <definedName name="가중치_수학배점">'입학점수산출표'!$AD$60</definedName>
    <definedName name="가중치_수학성취도_졸업">'입학점수산출표'!$AI$12</definedName>
    <definedName name="가중치_수학성취도_졸업예정">'입학점수산출표'!$AH$12</definedName>
    <definedName name="가중치_영어">'입학점수산출표'!$P$28</definedName>
    <definedName name="가중치_영어_졸업">'입학점수산출표'!$AI$20</definedName>
    <definedName name="가중치_영어_졸업예정">'입학점수산출표'!$AH$20</definedName>
    <definedName name="가중치_영어배점">'입학점수산출표'!$AF$60</definedName>
    <definedName name="가중치_영어성취도_졸업">'입학점수산출표'!$AI$14</definedName>
    <definedName name="가중치_영어성취도_졸업예정">'입학점수산출표'!$AH$14</definedName>
    <definedName name="가중치_합계">'입학점수산출표'!$Q$28</definedName>
    <definedName name="검정고시_석차백분율">'기본정보입력'!$U$8</definedName>
    <definedName name="검정고시_응시교육청">'기본정보입력'!$P$6</definedName>
    <definedName name="검정고시조견표">'기초자료'!$P$2:$Z$43</definedName>
    <definedName name="검정고시조견표_필드행">'기초자료'!$P$2:$Z$2</definedName>
    <definedName name="검정고시조견표년도">OFFSET('기초자료'!$P$2,0,1,1,10)</definedName>
    <definedName name="검정고시합격년도">'기본정보입력'!$Q$7</definedName>
    <definedName name="검정고시합격년도_필드위치">'기본정보입력'!$U$7</definedName>
    <definedName name="검정고시합격점수">'기본정보입력'!$Q$8</definedName>
    <definedName name="과목수확인">'입학점수산출표'!$Q$30</definedName>
    <definedName name="광역시도표">'기초자료'!$I$3:$I$19</definedName>
    <definedName name="교과목수_21">'입학점수산출표'!$U$30</definedName>
    <definedName name="교과목수_22">'입학점수산출표'!$W$30</definedName>
    <definedName name="교과목수_31">'입학점수산출표'!$Y$30</definedName>
    <definedName name="교과목수_32">'입학점수산출표'!$AA$30</definedName>
    <definedName name="교과목수_합계">'입학점수산출표'!$AD$30</definedName>
    <definedName name="교과점수_일반_합계">'입학점수산출표'!$AC$53</definedName>
    <definedName name="교과점수_특별_합계">'입학점수산출표'!$AC$54</definedName>
    <definedName name="교과학습발달상황점수_일반">'입학점수산출표'!$AH$53</definedName>
    <definedName name="교과학습발달상황점수_특별">'입학점수산출표'!$AH$54</definedName>
    <definedName name="미인정_결과">'입학점수산출표'!$Q$9</definedName>
    <definedName name="미인정_결석">'입학점수산출표'!$N$9</definedName>
    <definedName name="미인정_조퇴">'입학점수산출표'!$P$9</definedName>
    <definedName name="미인정_지각">'입학점수산출표'!$O$9</definedName>
    <definedName name="보호자관계">'기본정보입력'!$J$32</definedName>
    <definedName name="보호자생년월일">'기본정보입력'!$C$33</definedName>
    <definedName name="보호자성명">'기본정보입력'!$C$32</definedName>
    <definedName name="보호자전화번호">'기본정보입력'!$O$32</definedName>
    <definedName name="봉사활동_졸업예정자">'기초자료'!$D$5:$E$16</definedName>
    <definedName name="봉사활동_졸업자">'기초자료'!$F$5:$G$16</definedName>
    <definedName name="봉사활동입력_1학년">'입학점수산출표'!$M$22</definedName>
    <definedName name="봉사활동입력_2학년">'입학점수산출표'!$N$22</definedName>
    <definedName name="봉사활동입력_3학년">'입학점수산출표'!$O$22</definedName>
    <definedName name="봉사활동입력_합계">'입학점수산출표'!$P$22</definedName>
    <definedName name="봉사활동점수">'입학점수산출표'!$Q$22</definedName>
    <definedName name="봉사활동점수표">'입학점수산출표'!$AK$13:$AN$27</definedName>
    <definedName name="삼학년_반">'기본정보입력'!$G$8</definedName>
    <definedName name="삼학년_번호">'기본정보입력'!$J$8</definedName>
    <definedName name="성적유무_21">'입학점수산출표'!$U$6</definedName>
    <definedName name="성적유무_22">'입학점수산출표'!$W$6</definedName>
    <definedName name="성적유무_31">'입학점수산출표'!$Y$6</definedName>
    <definedName name="성적유무_32">'입학점수산출표'!$AA$6</definedName>
    <definedName name="성취도">'기초자료'!$G$23:$G$27</definedName>
    <definedName name="성취도_기가_21">'입학점수산출표'!$C$59</definedName>
    <definedName name="성취도_기가_22">'입학점수산출표'!$E$59</definedName>
    <definedName name="성취도_기가_31">'입학점수산출표'!$G$59</definedName>
    <definedName name="성취도_기가_32">'입학점수산출표'!$I$59</definedName>
    <definedName name="성취도_수학_21">'입학점수산출표'!$C$58</definedName>
    <definedName name="성취도_수학_22">'입학점수산출표'!$E$58</definedName>
    <definedName name="성취도_수학_31">'입학점수산출표'!$G$58</definedName>
    <definedName name="성취도_수학_32">'입학점수산출표'!$I$58</definedName>
    <definedName name="성취도_영어_21">'입학점수산출표'!$C$60</definedName>
    <definedName name="성취도_영어_22">'입학점수산출표'!$E$60</definedName>
    <definedName name="성취도_영어_31">'입학점수산출표'!$G$60</definedName>
    <definedName name="성취도_영어_32">'입학점수산출표'!$I$60</definedName>
    <definedName name="성취도_예체능">'기초자료'!$E$23:$E$25</definedName>
    <definedName name="성취도갯수_21_A">'입학점수산출표'!$C$43</definedName>
    <definedName name="성취도갯수_21_B">'입학점수산출표'!$C$44</definedName>
    <definedName name="성취도갯수_21_C">'입학점수산출표'!$C$45</definedName>
    <definedName name="성취도갯수_21_D">'입학점수산출표'!$C$46</definedName>
    <definedName name="성취도갯수_21_E">'입학점수산출표'!$C$47</definedName>
    <definedName name="성취도갯수_22_A">'입학점수산출표'!$E$43</definedName>
    <definedName name="성취도갯수_22_B">'입학점수산출표'!$E$44</definedName>
    <definedName name="성취도갯수_22_C">'입학점수산출표'!$E$45</definedName>
    <definedName name="성취도갯수_22_D">'입학점수산출표'!$E$46</definedName>
    <definedName name="성취도갯수_22_E">'입학점수산출표'!$E$47</definedName>
    <definedName name="성취도갯수_31_A">'입학점수산출표'!$G$43</definedName>
    <definedName name="성취도갯수_31_B">'입학점수산출표'!$G$44</definedName>
    <definedName name="성취도갯수_31_C">'입학점수산출표'!$G$45</definedName>
    <definedName name="성취도갯수_31_D">'입학점수산출표'!$G$46</definedName>
    <definedName name="성취도갯수_31_E">'입학점수산출표'!$G$47</definedName>
    <definedName name="성취도갯수_32_A">'입학점수산출표'!$I$43</definedName>
    <definedName name="성취도갯수_32_B">'입학점수산출표'!$I$44</definedName>
    <definedName name="성취도갯수_32_C">'입학점수산출표'!$I$45</definedName>
    <definedName name="성취도갯수_32_D">'입학점수산출표'!$I$46</definedName>
    <definedName name="성취도갯수_32_E">'입학점수산출표'!$I$47</definedName>
    <definedName name="성취도갯수_합계_A">'입학점수산출표'!$L$43</definedName>
    <definedName name="성취도갯수_합계_B">'입학점수산출표'!$L$44</definedName>
    <definedName name="성취도갯수_합계_C">'입학점수산출표'!$L$45</definedName>
    <definedName name="성취도갯수_합계_D">'입학점수산출표'!$L$46</definedName>
    <definedName name="성취도갯수_합계_E">'입학점수산출표'!$L$47</definedName>
    <definedName name="성취도갯수_합계_과목수">'입학점수산출표'!$L$48</definedName>
    <definedName name="성취도점수_21">'입학점수산출표'!$U$31</definedName>
    <definedName name="성취도점수_22">'입학점수산출표'!$W$31</definedName>
    <definedName name="성취도점수_31">'입학점수산출표'!$Y$31</definedName>
    <definedName name="성취도점수_32">'입학점수산출표'!$AA$31</definedName>
    <definedName name="성취도점수_합계">'입학점수산출표'!$AD$31</definedName>
    <definedName name="성취도표">'기초자료'!$E$23:$F$36</definedName>
    <definedName name="수업일수_1학년">'입학점수산출표'!$M$6</definedName>
    <definedName name="수업일수_2학년">'입학점수산출표'!$M$7</definedName>
    <definedName name="수업일수_3학년">'입학점수산출표'!$M$8</definedName>
    <definedName name="수업일수_오류확인">'입학점수산출표'!$AW$10</definedName>
    <definedName name="수험번호">'입학원서'!$Q$2</definedName>
    <definedName name="원서작성일자">'기본정보입력'!$P$4</definedName>
    <definedName name="유형별_학기별_교과점수">'입학점수산출표'!$S$39:$AH$52</definedName>
    <definedName name="유형별_학기별_기준점수표">'입학점수산출표'!$S$62:$AH$75</definedName>
    <definedName name="입학전형총점_일반">'입학점수산출표'!$G$39</definedName>
    <definedName name="입학전형총점_특별">'입학점수산출표'!$P$39</definedName>
    <definedName name="전과목_평균성취율">'입학점수산출표'!$AD$33</definedName>
    <definedName name="전형구분선택">'기본정보입력'!$V$10</definedName>
    <definedName name="전형구분선택번호">'기본정보입력'!$U$10</definedName>
    <definedName name="전형구분표">'기초자료'!$A$2:$B$6</definedName>
    <definedName name="접수번호">'입학원서'!$F$2</definedName>
    <definedName name="제1지망학과">'기본정보입력'!$V$28</definedName>
    <definedName name="제1지망학과_선택번호">'기본정보입력'!$U$28</definedName>
    <definedName name="제2지망학과">'기본정보입력'!$V$29</definedName>
    <definedName name="제2지망학과_선택번호">'기본정보입력'!$U$29</definedName>
    <definedName name="제3지망학과">'기본정보입력'!$V$30</definedName>
    <definedName name="제3지망학과_선택번호">'기본정보입력'!$U$30</definedName>
    <definedName name="중학교목록_울산">OFFSET('기초자료'!$AC$2,1,0,COUNTA('기초자료'!$AC:$AC)-1,1)</definedName>
    <definedName name="지망학과_오류검증">'기본정보입력'!$X$28</definedName>
    <definedName name="지망학과표">'기초자료'!$A$14:$B$17</definedName>
    <definedName name="출결점수_일반전형">'입학점수산출표'!$Q$15</definedName>
    <definedName name="출결점수_특별전형">'입학점수산출표'!$Q$17</definedName>
    <definedName name="출결점수표">'입학점수산출표'!$AP$13:$AT$27</definedName>
    <definedName name="출신학교명">'기본정보입력'!$C$37</definedName>
    <definedName name="특례입학유형선택">'기본정보입력'!$V$16</definedName>
    <definedName name="특례입학유형선택번호">'기본정보입력'!$U$16</definedName>
    <definedName name="특별전형구분선택">'기본정보입력'!$W$12</definedName>
    <definedName name="특별전형구분선택번호">'기본정보입력'!$U$12</definedName>
    <definedName name="특별전형구분표">'기초자료'!$K$3:$N$11</definedName>
    <definedName name="특별전형유형선택">'기본정보입력'!$V$12</definedName>
    <definedName name="평균_성취도점수">'입학점수산출표'!$U$33</definedName>
    <definedName name="학교광역시도">'기본정보입력'!$E$35</definedName>
    <definedName name="학교시군구">'기본정보입력'!$J$35</definedName>
    <definedName name="학교전화번호">'기본정보입력'!$C$36</definedName>
    <definedName name="학교팩스번호">'기본정보입력'!$M$36</definedName>
    <definedName name="학기별성취도평균_21">'입학점수산출표'!$C$31</definedName>
    <definedName name="학기별성취도평균_22">'입학점수산출표'!$E$31</definedName>
    <definedName name="학기별성취도평균_31">'입학점수산출표'!$G$31</definedName>
    <definedName name="학기별성취도평균_32">'입학점수산출표'!$I$31</definedName>
    <definedName name="학년도">'기본정보입력'!$A$1</definedName>
    <definedName name="학력_전형구분_코드">'입학점수산출표'!$AM$5</definedName>
    <definedName name="학력구분표">'기초자료'!$A$9:$B$11</definedName>
    <definedName name="학력선택">'기본정보입력'!$V$6</definedName>
    <definedName name="학력선택번호">'기본정보입력'!$U$6</definedName>
    <definedName name="학력취득일">'기본정보입력'!$G$7</definedName>
    <definedName name="학생광역시도">'기본정보입력'!$E$25</definedName>
    <definedName name="학생상세주소">'기본정보입력'!$G$26</definedName>
    <definedName name="학생생년월일">'기본정보입력'!$C$24</definedName>
    <definedName name="학생성명">'기본정보입력'!$C$4</definedName>
    <definedName name="학생성별">'기본정보입력'!$J$24</definedName>
    <definedName name="학생시군구">'기본정보입력'!$J$25</definedName>
    <definedName name="학생우편번호">'기본정보입력'!$O$24</definedName>
    <definedName name="학생읍면동">'기본정보입력'!$O$25</definedName>
    <definedName name="학생전화번호">'기본정보입력'!$I$4</definedName>
    <definedName name="확인_울산광역시_이름">'기본정보입력'!$U$35</definedName>
    <definedName name="확인_울산중학교_이름">'기본정보입력'!$U$37</definedName>
    <definedName name="확인_울산지역">'기본정보입력'!$U$38</definedName>
    <definedName name="확인_울산지역_울산학교이름">'기본정보입력'!$U$39</definedName>
    <definedName name="환산결석일수">'입학점수산출표'!$P$12</definedName>
    <definedName name="_xlnm.Print_Titles" localSheetId="1">'제출목록'!$1:$1</definedName>
  </definedNames>
  <calcPr calcId="162913"/>
</workbook>
</file>

<file path=xl/comments3.xml><?xml version="1.0" encoding="utf-8"?>
<comments xmlns="http://schemas.openxmlformats.org/spreadsheetml/2006/main">
  <authors>
    <author>이주성</author>
    <author>usm</author>
    <author>snoopy</author>
    <author>user</author>
  </authors>
  <commentList>
    <comment ref="A1" authorId="0">
      <text>
        <r>
          <rPr>
            <b/>
            <sz val="12"/>
            <rFont val="돋움"/>
            <family val="3"/>
          </rPr>
          <t>관리자는 가장 먼저 학년도를 입력합니다.</t>
        </r>
      </text>
    </comment>
    <comment ref="C4" authorId="1">
      <text>
        <r>
          <rPr>
            <b/>
            <sz val="11"/>
            <rFont val="돋움"/>
            <family val="3"/>
          </rPr>
          <t>한글로 입력.
(공백없이 입력함.
이름이 2자일 경우도 동일함)</t>
        </r>
      </text>
    </comment>
    <comment ref="I4" authorId="0">
      <text>
        <r>
          <rPr>
            <b/>
            <sz val="11"/>
            <rFont val="돋움"/>
            <family val="3"/>
          </rPr>
          <t>전화번호는 '-' 기호를 포함하여 입력하세요
본인 휴대전화가 없을 경우 집전화번호 입력합니다.
예시) 010-1234-5678,     052-123-4567</t>
        </r>
      </text>
    </comment>
    <comment ref="P4" authorId="0">
      <text>
        <r>
          <rPr>
            <b/>
            <sz val="11"/>
            <rFont val="돋움"/>
            <family val="3"/>
          </rPr>
          <t>날짜형식으로 입력합니다.
원서작성 학년도를 벗어나지 않는 날짜를 입력합니다.
14/10/24 또는 14-10-24 또는 2014-10-24   (O)
14.10.24.  또는  2014.10.24.                   (X)</t>
        </r>
      </text>
    </comment>
    <comment ref="P6" authorId="0">
      <text>
        <r>
          <rPr>
            <b/>
            <sz val="11"/>
            <rFont val="돋움"/>
            <family val="3"/>
          </rPr>
          <t>광역시도를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선택합니다</t>
        </r>
        <r>
          <rPr>
            <b/>
            <sz val="11"/>
            <rFont val="Tahoma"/>
            <family val="2"/>
          </rPr>
          <t>.</t>
        </r>
        <r>
          <rPr>
            <b/>
            <sz val="11"/>
            <rFont val="돋움"/>
            <family val="3"/>
          </rPr>
          <t xml:space="preserve">
예시</t>
        </r>
        <r>
          <rPr>
            <b/>
            <sz val="11"/>
            <rFont val="Tahoma"/>
            <family val="2"/>
          </rPr>
          <t xml:space="preserve">: </t>
        </r>
        <r>
          <rPr>
            <b/>
            <sz val="11"/>
            <rFont val="돋움"/>
            <family val="3"/>
          </rPr>
          <t>울산광역시</t>
        </r>
        <r>
          <rPr>
            <b/>
            <sz val="11"/>
            <rFont val="Tahoma"/>
            <family val="2"/>
          </rPr>
          <t xml:space="preserve">(O)      </t>
        </r>
        <r>
          <rPr>
            <b/>
            <sz val="11"/>
            <rFont val="돋움"/>
            <family val="3"/>
          </rPr>
          <t>울산시</t>
        </r>
        <r>
          <rPr>
            <b/>
            <sz val="11"/>
            <rFont val="Tahoma"/>
            <family val="2"/>
          </rPr>
          <t>(X)</t>
        </r>
      </text>
    </comment>
    <comment ref="G7" authorId="0">
      <text>
        <r>
          <rPr>
            <b/>
            <sz val="11"/>
            <rFont val="돋움"/>
            <family val="3"/>
          </rPr>
          <t>날짜형식으로 입력합니다.
15/2/13 또는 15-2-13 또는 2015-2-13   (O)
15.2.13.  또는  2015.2.13.                  (X)</t>
        </r>
      </text>
    </comment>
    <comment ref="Q7" authorId="0">
      <text>
        <r>
          <rPr>
            <b/>
            <sz val="11"/>
            <rFont val="돋움"/>
            <family val="3"/>
          </rPr>
          <t>검정고시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합격년도를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선택합니다</t>
        </r>
        <r>
          <rPr>
            <b/>
            <sz val="11"/>
            <rFont val="Tahoma"/>
            <family val="2"/>
          </rPr>
          <t>.</t>
        </r>
        <r>
          <rPr>
            <b/>
            <sz val="11"/>
            <rFont val="돋움"/>
            <family val="3"/>
          </rPr>
          <t xml:space="preserve">
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예시</t>
        </r>
        <r>
          <rPr>
            <b/>
            <sz val="11"/>
            <rFont val="Tahoma"/>
            <family val="2"/>
          </rPr>
          <t>) 2014</t>
        </r>
      </text>
    </comment>
    <comment ref="G8" authorId="0">
      <text>
        <r>
          <rPr>
            <sz val="11"/>
            <rFont val="Tahoma"/>
            <family val="2"/>
          </rPr>
          <t>3</t>
        </r>
        <r>
          <rPr>
            <sz val="11"/>
            <rFont val="돋움"/>
            <family val="3"/>
          </rPr>
          <t>학년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재학시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반을</t>
        </r>
        <r>
          <rPr>
            <sz val="11"/>
            <rFont val="Tahoma"/>
            <family val="2"/>
          </rPr>
          <t xml:space="preserve"> 
</t>
        </r>
        <r>
          <rPr>
            <sz val="11"/>
            <rFont val="돋움"/>
            <family val="3"/>
          </rPr>
          <t>숫자로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입력함
예시</t>
        </r>
        <r>
          <rPr>
            <sz val="11"/>
            <rFont val="Tahoma"/>
            <family val="2"/>
          </rPr>
          <t>) 5, 2</t>
        </r>
      </text>
    </comment>
    <comment ref="J8" authorId="0">
      <text>
        <r>
          <rPr>
            <sz val="11"/>
            <rFont val="Tahoma"/>
            <family val="2"/>
          </rPr>
          <t>3</t>
        </r>
        <r>
          <rPr>
            <sz val="11"/>
            <rFont val="돋움"/>
            <family val="3"/>
          </rPr>
          <t>학년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재학시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번호를</t>
        </r>
        <r>
          <rPr>
            <sz val="11"/>
            <rFont val="Tahoma"/>
            <family val="2"/>
          </rPr>
          <t xml:space="preserve"> 
</t>
        </r>
        <r>
          <rPr>
            <sz val="11"/>
            <rFont val="돋움"/>
            <family val="3"/>
          </rPr>
          <t>숫자로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입력함
예시</t>
        </r>
        <r>
          <rPr>
            <sz val="11"/>
            <rFont val="Tahoma"/>
            <family val="2"/>
          </rPr>
          <t>) 2,  4,  5</t>
        </r>
      </text>
    </comment>
    <comment ref="Q8" authorId="0">
      <text>
        <r>
          <rPr>
            <b/>
            <sz val="11"/>
            <rFont val="돋움"/>
            <family val="3"/>
          </rPr>
          <t>검정고시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합격점수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예시</t>
        </r>
        <r>
          <rPr>
            <b/>
            <sz val="11"/>
            <rFont val="Tahoma"/>
            <family val="2"/>
          </rPr>
          <t>)  95.16</t>
        </r>
      </text>
    </comment>
    <comment ref="V10" authorId="2">
      <text>
        <r>
          <rPr>
            <b/>
            <sz val="11"/>
            <rFont val="돋움"/>
            <family val="3"/>
          </rPr>
          <t>일반전형, 특별전형, 국가유공자전형, 특례입학전형 중에서 택일.</t>
        </r>
      </text>
    </comment>
    <comment ref="C24" authorId="0">
      <text>
        <r>
          <rPr>
            <b/>
            <sz val="11"/>
            <rFont val="돋움"/>
            <family val="3"/>
          </rPr>
          <t>날짜형식으로 입력합니다.
98/3/1 또는 98-3-1 또는 1998-3-1   (O)
98.3.1.  또는  1998.3.1.                (X)</t>
        </r>
      </text>
    </comment>
    <comment ref="O24" authorId="0">
      <text>
        <r>
          <rPr>
            <b/>
            <sz val="11"/>
            <rFont val="돋움"/>
            <family val="3"/>
          </rPr>
          <t>우편번호는</t>
        </r>
        <r>
          <rPr>
            <b/>
            <sz val="11"/>
            <rFont val="Tahoma"/>
            <family val="2"/>
          </rPr>
          <t xml:space="preserve"> '-' </t>
        </r>
        <r>
          <rPr>
            <b/>
            <sz val="11"/>
            <rFont val="돋움"/>
            <family val="3"/>
          </rPr>
          <t>기호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입력함</t>
        </r>
        <r>
          <rPr>
            <b/>
            <sz val="11"/>
            <rFont val="Tahoma"/>
            <family val="2"/>
          </rPr>
          <t xml:space="preserve">.
</t>
        </r>
        <r>
          <rPr>
            <b/>
            <sz val="11"/>
            <rFont val="돋움"/>
            <family val="3"/>
          </rPr>
          <t>예</t>
        </r>
        <r>
          <rPr>
            <b/>
            <sz val="11"/>
            <rFont val="Tahoma"/>
            <family val="2"/>
          </rPr>
          <t>) 12345     (</t>
        </r>
        <r>
          <rPr>
            <b/>
            <sz val="11"/>
            <rFont val="돋움"/>
            <family val="3"/>
          </rPr>
          <t>신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우편번호</t>
        </r>
        <r>
          <rPr>
            <b/>
            <sz val="11"/>
            <rFont val="Tahoma"/>
            <family val="2"/>
          </rPr>
          <t>)
      123-456  (</t>
        </r>
        <r>
          <rPr>
            <b/>
            <sz val="11"/>
            <rFont val="돋움"/>
            <family val="3"/>
          </rPr>
          <t>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우편번호</t>
        </r>
        <r>
          <rPr>
            <b/>
            <sz val="11"/>
            <rFont val="Tahoma"/>
            <family val="2"/>
          </rPr>
          <t>)</t>
        </r>
      </text>
    </comment>
    <comment ref="E25" authorId="0">
      <text>
        <r>
          <rPr>
            <b/>
            <sz val="11"/>
            <rFont val="돋움"/>
            <family val="3"/>
          </rPr>
          <t>광역시도를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선택합니다</t>
        </r>
        <r>
          <rPr>
            <b/>
            <sz val="11"/>
            <rFont val="Tahoma"/>
            <family val="2"/>
          </rPr>
          <t>.</t>
        </r>
        <r>
          <rPr>
            <b/>
            <sz val="11"/>
            <rFont val="돋움"/>
            <family val="3"/>
          </rPr>
          <t xml:space="preserve">
예시</t>
        </r>
        <r>
          <rPr>
            <b/>
            <sz val="11"/>
            <rFont val="Tahoma"/>
            <family val="2"/>
          </rPr>
          <t xml:space="preserve">: </t>
        </r>
        <r>
          <rPr>
            <b/>
            <sz val="11"/>
            <rFont val="돋움"/>
            <family val="3"/>
          </rPr>
          <t>울산광역시</t>
        </r>
        <r>
          <rPr>
            <b/>
            <sz val="11"/>
            <rFont val="Tahoma"/>
            <family val="2"/>
          </rPr>
          <t xml:space="preserve">(O)      </t>
        </r>
        <r>
          <rPr>
            <b/>
            <sz val="11"/>
            <rFont val="돋움"/>
            <family val="3"/>
          </rPr>
          <t>울산시</t>
        </r>
        <r>
          <rPr>
            <b/>
            <sz val="11"/>
            <rFont val="Tahoma"/>
            <family val="2"/>
          </rPr>
          <t>(X)</t>
        </r>
      </text>
    </comment>
    <comment ref="J2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군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구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울주군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남구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창원시성산구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울주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남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창원</t>
        </r>
        <r>
          <rPr>
            <b/>
            <sz val="11"/>
            <rFont val="Tahoma"/>
            <family val="2"/>
          </rPr>
          <t xml:space="preserve"> (X)</t>
        </r>
      </text>
    </comment>
    <comment ref="O2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읍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면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등을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범서읍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효문동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염포로</t>
        </r>
        <r>
          <rPr>
            <b/>
            <sz val="11"/>
            <rFont val="Tahoma"/>
            <family val="2"/>
          </rPr>
          <t xml:space="preserve"> (O)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범서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효문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염포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    (X)</t>
        </r>
      </text>
    </comment>
    <comment ref="G26" authorId="0">
      <text>
        <r>
          <rPr>
            <b/>
            <sz val="11"/>
            <rFont val="돋움"/>
            <family val="3"/>
          </rPr>
          <t>도로명주소</t>
        </r>
        <r>
          <rPr>
            <b/>
            <sz val="11"/>
            <rFont val="Tahoma"/>
            <family val="2"/>
          </rPr>
          <t xml:space="preserve">,  </t>
        </r>
        <r>
          <rPr>
            <b/>
            <sz val="11"/>
            <rFont val="돋움"/>
            <family val="3"/>
          </rPr>
          <t>기존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번지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주소
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개중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택일하여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예</t>
        </r>
        <r>
          <rPr>
            <b/>
            <sz val="11"/>
            <rFont val="Tahoma"/>
            <family val="2"/>
          </rPr>
          <t xml:space="preserve">1)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7 </t>
        </r>
        <r>
          <rPr>
            <b/>
            <sz val="11"/>
            <rFont val="돋움"/>
            <family val="3"/>
          </rPr>
          <t>울산아파트</t>
        </r>
        <r>
          <rPr>
            <b/>
            <sz val="11"/>
            <rFont val="Tahoma"/>
            <family val="2"/>
          </rPr>
          <t xml:space="preserve"> 101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101</t>
        </r>
        <r>
          <rPr>
            <b/>
            <sz val="11"/>
            <rFont val="돋움"/>
            <family val="3"/>
          </rPr>
          <t>호
예</t>
        </r>
        <r>
          <rPr>
            <b/>
            <sz val="11"/>
            <rFont val="Tahoma"/>
            <family val="2"/>
          </rPr>
          <t xml:space="preserve">2) </t>
        </r>
        <r>
          <rPr>
            <b/>
            <sz val="11"/>
            <rFont val="돋움"/>
            <family val="3"/>
          </rPr>
          <t>울밀로</t>
        </r>
        <r>
          <rPr>
            <b/>
            <sz val="11"/>
            <rFont val="Tahoma"/>
            <family val="2"/>
          </rPr>
          <t xml:space="preserve"> 287-1 </t>
        </r>
        <r>
          <rPr>
            <b/>
            <sz val="11"/>
            <rFont val="돋움"/>
            <family val="3"/>
          </rPr>
          <t>울산아파트</t>
        </r>
        <r>
          <rPr>
            <b/>
            <sz val="11"/>
            <rFont val="Tahoma"/>
            <family val="2"/>
          </rPr>
          <t xml:space="preserve"> 101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101</t>
        </r>
        <r>
          <rPr>
            <b/>
            <sz val="11"/>
            <rFont val="돋움"/>
            <family val="3"/>
          </rPr>
          <t>호
예</t>
        </r>
        <r>
          <rPr>
            <b/>
            <sz val="11"/>
            <rFont val="Tahoma"/>
            <family val="2"/>
          </rPr>
          <t>3) 34-1</t>
        </r>
        <r>
          <rPr>
            <b/>
            <sz val="11"/>
            <rFont val="돋움"/>
            <family val="3"/>
          </rPr>
          <t>번지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울산아파트</t>
        </r>
        <r>
          <rPr>
            <b/>
            <sz val="11"/>
            <rFont val="Tahoma"/>
            <family val="2"/>
          </rPr>
          <t xml:space="preserve"> 101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101</t>
        </r>
        <r>
          <rPr>
            <b/>
            <sz val="11"/>
            <rFont val="돋움"/>
            <family val="3"/>
          </rPr>
          <t>호</t>
        </r>
      </text>
    </comment>
    <comment ref="B28" authorId="0">
      <text>
        <r>
          <rPr>
            <b/>
            <sz val="11"/>
            <rFont val="돋움"/>
            <family val="3"/>
          </rPr>
          <t xml:space="preserve">1. 3지망 학과까지 중복되지 않도록 입력 합니다.
2. 제1지망 또는 제2지망 학과까지만 입력할 수 있으나
   1지망 또는 2지망에서 배정되지 못할 경우 불합격 처리됩니다.
</t>
        </r>
      </text>
    </comment>
    <comment ref="O28" authorId="0">
      <text>
        <r>
          <rPr>
            <b/>
            <sz val="11"/>
            <rFont val="Tahoma"/>
            <family val="2"/>
          </rPr>
          <t>1. 3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학과까지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중복되지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않도록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합니다</t>
        </r>
        <r>
          <rPr>
            <b/>
            <sz val="11"/>
            <rFont val="Tahoma"/>
            <family val="2"/>
          </rPr>
          <t xml:space="preserve">.
2. </t>
        </r>
        <r>
          <rPr>
            <b/>
            <sz val="11"/>
            <rFont val="돋움"/>
            <family val="3"/>
          </rPr>
          <t>제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제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학과까지만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입력할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있으나
</t>
        </r>
        <r>
          <rPr>
            <b/>
            <sz val="11"/>
            <rFont val="Tahoma"/>
            <family val="2"/>
          </rPr>
          <t xml:space="preserve">   1</t>
        </r>
        <r>
          <rPr>
            <b/>
            <sz val="11"/>
            <rFont val="돋움"/>
            <family val="3"/>
          </rPr>
          <t>지망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또는</t>
        </r>
        <r>
          <rPr>
            <b/>
            <sz val="11"/>
            <rFont val="Tahoma"/>
            <family val="2"/>
          </rPr>
          <t xml:space="preserve"> 2</t>
        </r>
        <r>
          <rPr>
            <b/>
            <sz val="11"/>
            <rFont val="돋움"/>
            <family val="3"/>
          </rPr>
          <t>지망에서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배정되지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못할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불합격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처리됩니다</t>
        </r>
        <r>
          <rPr>
            <b/>
            <sz val="11"/>
            <rFont val="Tahoma"/>
            <family val="2"/>
          </rPr>
          <t xml:space="preserve">.
</t>
        </r>
      </text>
    </comment>
    <comment ref="W28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X28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W29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W30" authorId="0">
      <text>
        <r>
          <rPr>
            <b/>
            <sz val="12"/>
            <rFont val="돋움"/>
            <family val="3"/>
          </rPr>
          <t>True : 오류존재함
False : 오류없음</t>
        </r>
      </text>
    </comment>
    <comment ref="C32" authorId="1">
      <text>
        <r>
          <rPr>
            <b/>
            <sz val="11"/>
            <rFont val="돋움"/>
            <family val="3"/>
          </rPr>
          <t>한글로 입력.
(공백없이 입력함.
이름이 2자일 경우도 동일함)</t>
        </r>
      </text>
    </comment>
    <comment ref="J32" authorId="0">
      <text>
        <r>
          <rPr>
            <b/>
            <sz val="11"/>
            <rFont val="돋움"/>
            <family val="3"/>
          </rPr>
          <t>학생의 입장에서 관계를 입력합니다.
예) 아버지, 어머니, 고모 등</t>
        </r>
      </text>
    </comment>
    <comment ref="O32" authorId="0">
      <text>
        <r>
          <rPr>
            <b/>
            <sz val="12"/>
            <rFont val="돋움"/>
            <family val="3"/>
          </rPr>
          <t>전화번호는 '-' 기호를 포함하여 입력하세요
예시) 010-1234-4567,    070-1234-5678</t>
        </r>
      </text>
    </comment>
    <comment ref="C33" authorId="1">
      <text>
        <r>
          <rPr>
            <b/>
            <sz val="11"/>
            <rFont val="돋움"/>
            <family val="3"/>
          </rPr>
          <t>특별전형 지원자의 학부모만 입력
날짜형식으로 입력합니다.
98/3/1 또는 98-3-1 또는 1998-3-1   (O)
98.3.1.  또는  1998.3.1.                (X)</t>
        </r>
      </text>
    </comment>
    <comment ref="E35" authorId="0">
      <text>
        <r>
          <rPr>
            <b/>
            <sz val="11"/>
            <rFont val="돋움"/>
            <family val="3"/>
          </rPr>
          <t>광역시도를 선택합니다.
예시: 울산광역시(O)      울산시(X)</t>
        </r>
      </text>
    </comment>
    <comment ref="J3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군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구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울주군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남구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창원시성산구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울주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남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창원</t>
        </r>
        <r>
          <rPr>
            <b/>
            <sz val="11"/>
            <rFont val="Tahoma"/>
            <family val="2"/>
          </rPr>
          <t xml:space="preserve"> (X)</t>
        </r>
      </text>
    </comment>
    <comment ref="O35" authorId="0">
      <text>
        <r>
          <rPr>
            <b/>
            <sz val="11"/>
            <rFont val="Tahoma"/>
            <family val="2"/>
          </rPr>
          <t>"</t>
        </r>
        <r>
          <rPr>
            <b/>
            <sz val="11"/>
            <rFont val="돋움"/>
            <family val="3"/>
          </rPr>
          <t>읍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면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동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로</t>
        </r>
        <r>
          <rPr>
            <b/>
            <sz val="11"/>
            <rFont val="Tahoma"/>
            <family val="2"/>
          </rPr>
          <t>", "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" </t>
        </r>
        <r>
          <rPr>
            <b/>
            <sz val="11"/>
            <rFont val="돋움"/>
            <family val="3"/>
          </rPr>
          <t>등을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
범서읍</t>
        </r>
        <r>
          <rPr>
            <b/>
            <sz val="11"/>
            <rFont val="Tahoma"/>
            <family val="2"/>
          </rPr>
          <t xml:space="preserve"> (O)     </t>
        </r>
        <r>
          <rPr>
            <b/>
            <sz val="11"/>
            <rFont val="돋움"/>
            <family val="3"/>
          </rPr>
          <t>효문동</t>
        </r>
        <r>
          <rPr>
            <b/>
            <sz val="11"/>
            <rFont val="Tahoma"/>
            <family val="2"/>
          </rPr>
          <t xml:space="preserve"> (O)    </t>
        </r>
        <r>
          <rPr>
            <b/>
            <sz val="11"/>
            <rFont val="돋움"/>
            <family val="3"/>
          </rPr>
          <t>염포로</t>
        </r>
        <r>
          <rPr>
            <b/>
            <sz val="11"/>
            <rFont val="Tahoma"/>
            <family val="2"/>
          </rPr>
          <t xml:space="preserve"> (O)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</t>
        </r>
        <r>
          <rPr>
            <b/>
            <sz val="11"/>
            <rFont val="돋움"/>
            <family val="3"/>
          </rPr>
          <t>길</t>
        </r>
        <r>
          <rPr>
            <b/>
            <sz val="11"/>
            <rFont val="Tahoma"/>
            <family val="2"/>
          </rPr>
          <t xml:space="preserve"> (O)
</t>
        </r>
        <r>
          <rPr>
            <b/>
            <sz val="11"/>
            <rFont val="돋움"/>
            <family val="3"/>
          </rPr>
          <t>범서</t>
        </r>
        <r>
          <rPr>
            <b/>
            <sz val="11"/>
            <rFont val="Tahoma"/>
            <family val="2"/>
          </rPr>
          <t xml:space="preserve">    (X)      </t>
        </r>
        <r>
          <rPr>
            <b/>
            <sz val="11"/>
            <rFont val="돋움"/>
            <family val="3"/>
          </rPr>
          <t>효문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염포</t>
        </r>
        <r>
          <rPr>
            <b/>
            <sz val="11"/>
            <rFont val="Tahoma"/>
            <family val="2"/>
          </rPr>
          <t xml:space="preserve">    (X)    </t>
        </r>
        <r>
          <rPr>
            <b/>
            <sz val="11"/>
            <rFont val="돋움"/>
            <family val="3"/>
          </rPr>
          <t>율동</t>
        </r>
        <r>
          <rPr>
            <b/>
            <sz val="11"/>
            <rFont val="Tahoma"/>
            <family val="2"/>
          </rPr>
          <t>6    (X)</t>
        </r>
      </text>
    </comment>
    <comment ref="U35" authorId="0">
      <text>
        <r>
          <rPr>
            <b/>
            <sz val="11"/>
            <rFont val="돋움"/>
            <family val="3"/>
          </rPr>
          <t>TRUE: 학교주소가 울산광역시임</t>
        </r>
      </text>
    </comment>
    <comment ref="V35" authorId="0">
      <text>
        <r>
          <rPr>
            <b/>
            <sz val="11"/>
            <rFont val="돋움"/>
            <family val="3"/>
          </rPr>
          <t>TRUE: 학생의 집주소가 울산광역시임</t>
        </r>
      </text>
    </comment>
    <comment ref="W35" authorId="0">
      <text>
        <r>
          <rPr>
            <b/>
            <sz val="11"/>
            <rFont val="돋움"/>
            <family val="3"/>
          </rPr>
          <t>TRUE: 학생의 집주소가 울산광역시임</t>
        </r>
      </text>
    </comment>
    <comment ref="C36" authorId="0">
      <text>
        <r>
          <rPr>
            <b/>
            <sz val="11"/>
            <rFont val="돋움"/>
            <family val="3"/>
          </rPr>
          <t>전화번호는 '-' 기호를 포함하여 입력하세요
예시) 052-123-4567,    070-1234-5678</t>
        </r>
      </text>
    </comment>
    <comment ref="M36" authorId="0">
      <text>
        <r>
          <rPr>
            <b/>
            <sz val="11"/>
            <rFont val="Tahoma"/>
            <family val="2"/>
          </rPr>
          <t xml:space="preserve">FAX </t>
        </r>
        <r>
          <rPr>
            <b/>
            <sz val="11"/>
            <rFont val="돋움"/>
            <family val="3"/>
          </rPr>
          <t>번호는</t>
        </r>
        <r>
          <rPr>
            <b/>
            <sz val="11"/>
            <rFont val="Tahoma"/>
            <family val="2"/>
          </rPr>
          <t xml:space="preserve"> '-' </t>
        </r>
        <r>
          <rPr>
            <b/>
            <sz val="11"/>
            <rFont val="돋움"/>
            <family val="3"/>
          </rPr>
          <t>기호를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포함하여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입력</t>
        </r>
        <r>
          <rPr>
            <b/>
            <sz val="11"/>
            <rFont val="Tahoma"/>
            <family val="2"/>
          </rPr>
          <t xml:space="preserve">.
</t>
        </r>
        <r>
          <rPr>
            <b/>
            <sz val="11"/>
            <rFont val="돋움"/>
            <family val="3"/>
          </rPr>
          <t>예시</t>
        </r>
        <r>
          <rPr>
            <b/>
            <sz val="11"/>
            <rFont val="Tahoma"/>
            <family val="2"/>
          </rPr>
          <t>) 052-288-1714</t>
        </r>
      </text>
    </comment>
    <comment ref="C37" authorId="1">
      <text>
        <r>
          <rPr>
            <b/>
            <sz val="11"/>
            <rFont val="돋움"/>
            <family val="3"/>
          </rPr>
          <t>출신중학교 이름("00중"까지) 입력
1. 공백 없이 입력
2. 정식 학교명 입력, 약식으로 입력 안함.
3. 학교명에서 "학교"는 입력하지 않습니다.
예시: "울산북중학교"의 경우
        울산북중  (O)
        북중 (X)   울산북 (X)  울산북중학교 (X)</t>
        </r>
      </text>
    </comment>
    <comment ref="U37" authorId="0">
      <text>
        <r>
          <rPr>
            <b/>
            <sz val="11"/>
            <rFont val="Tahoma"/>
            <family val="2"/>
          </rPr>
          <t xml:space="preserve">TRUE: </t>
        </r>
        <r>
          <rPr>
            <b/>
            <sz val="11"/>
            <rFont val="돋움"/>
            <family val="3"/>
          </rPr>
          <t>중학교명이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울산지역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중학교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목록과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일치
</t>
        </r>
      </text>
    </comment>
    <comment ref="V37" authorId="0">
      <text>
        <r>
          <rPr>
            <b/>
            <sz val="11"/>
            <rFont val="돋움"/>
            <family val="3"/>
          </rPr>
          <t>TRUE: 검정고시 합격자</t>
        </r>
      </text>
    </comment>
    <comment ref="W37" authorId="3">
      <text>
        <r>
          <rPr>
            <b/>
            <sz val="11"/>
            <rFont val="Tahoma"/>
            <family val="2"/>
          </rPr>
          <t xml:space="preserve">TRUE: </t>
        </r>
        <r>
          <rPr>
            <b/>
            <sz val="11"/>
            <rFont val="돋움"/>
            <family val="3"/>
          </rPr>
          <t>외국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군사분계선이북지역에서</t>
        </r>
        <r>
          <rPr>
            <b/>
            <sz val="11"/>
            <rFont val="Tahoma"/>
            <family val="2"/>
          </rPr>
          <t xml:space="preserve"> 9</t>
        </r>
        <r>
          <rPr>
            <b/>
            <sz val="11"/>
            <rFont val="돋움"/>
            <family val="3"/>
          </rPr>
          <t>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이상의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학교교육을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이수하거나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초등학교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중학교에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해당하는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학교교육과정을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이수한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자</t>
        </r>
      </text>
    </comment>
    <comment ref="U38" authorId="0">
      <text>
        <r>
          <rPr>
            <b/>
            <sz val="11"/>
            <rFont val="돋움"/>
            <family val="3"/>
          </rPr>
          <t>이주성</t>
        </r>
        <r>
          <rPr>
            <b/>
            <sz val="11"/>
            <rFont val="Tahoma"/>
            <family val="2"/>
          </rPr>
          <t xml:space="preserve">:
TRUE : </t>
        </r>
        <r>
          <rPr>
            <b/>
            <sz val="11"/>
            <rFont val="돋움"/>
            <family val="3"/>
          </rPr>
          <t xml:space="preserve">울산지역
</t>
        </r>
        <r>
          <rPr>
            <b/>
            <sz val="11"/>
            <rFont val="Tahoma"/>
            <family val="2"/>
          </rPr>
          <t xml:space="preserve">FALSE : </t>
        </r>
        <r>
          <rPr>
            <b/>
            <sz val="11"/>
            <rFont val="돋움"/>
            <family val="3"/>
          </rPr>
          <t>타지역</t>
        </r>
      </text>
    </comment>
    <comment ref="U39" authorId="0">
      <text>
        <r>
          <rPr>
            <b/>
            <sz val="9"/>
            <rFont val="돋움"/>
            <family val="3"/>
          </rPr>
          <t>울산지역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소재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오류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여부
</t>
        </r>
        <r>
          <rPr>
            <b/>
            <sz val="9"/>
            <rFont val="Tahoma"/>
            <family val="2"/>
          </rPr>
          <t xml:space="preserve">
TRUE : </t>
        </r>
        <r>
          <rPr>
            <b/>
            <sz val="9"/>
            <rFont val="돋움"/>
            <family val="3"/>
          </rPr>
          <t>정상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돋움"/>
            <family val="3"/>
          </rPr>
          <t>학교이름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목록에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존재함</t>
        </r>
        <r>
          <rPr>
            <b/>
            <sz val="9"/>
            <rFont val="Tahoma"/>
            <family val="2"/>
          </rPr>
          <t>)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9"/>
            <rFont val="Tahoma"/>
            <family val="2"/>
          </rPr>
          <t xml:space="preserve">FALSE : </t>
        </r>
        <r>
          <rPr>
            <b/>
            <sz val="9"/>
            <rFont val="돋움"/>
            <family val="3"/>
          </rPr>
          <t>오류의심</t>
        </r>
        <r>
          <rPr>
            <b/>
            <sz val="9"/>
            <rFont val="Tahoma"/>
            <family val="2"/>
          </rPr>
          <t xml:space="preserve"> (</t>
        </r>
        <r>
          <rPr>
            <b/>
            <sz val="9"/>
            <rFont val="돋움"/>
            <family val="3"/>
          </rPr>
          <t>목록에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없음</t>
        </r>
        <r>
          <rPr>
            <b/>
            <sz val="9"/>
            <rFont val="Tahoma"/>
            <family val="2"/>
          </rPr>
          <t xml:space="preserve">)
</t>
        </r>
        <r>
          <rPr>
            <b/>
            <sz val="9"/>
            <rFont val="돋움"/>
            <family val="3"/>
          </rPr>
          <t>중학교가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울산광역시에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있으면서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이름이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목록값과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다를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때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usm</author>
    <author>이주성</author>
    <author>snoopy</author>
    <author>sec</author>
  </authors>
  <commentList>
    <comment ref="B3" authorId="0">
      <text>
        <r>
          <rPr>
            <b/>
            <sz val="11"/>
            <rFont val="돋움"/>
            <family val="3"/>
          </rPr>
          <t>내용을 바꿀 때에는 
'기본정보입력'시트에서 수정하세요.</t>
        </r>
      </text>
    </comment>
    <comment ref="D3" authorId="0">
      <text>
        <r>
          <rPr>
            <b/>
            <sz val="11"/>
            <rFont val="돋움"/>
            <family val="3"/>
          </rPr>
          <t>내용을 바꿀 때에는 
'기본정보입력'시트에서 수정하세요.</t>
        </r>
      </text>
    </comment>
    <comment ref="N3" authorId="1">
      <text>
        <r>
          <rPr>
            <b/>
            <sz val="11"/>
            <rFont val="돋움"/>
            <family val="3"/>
          </rPr>
          <t>내용을 바꿀 때에는 
'기본정보입력'시트에서 수정하세요.</t>
        </r>
      </text>
    </comment>
    <comment ref="M6" authorId="2">
      <text>
        <r>
          <rPr>
            <b/>
            <sz val="11"/>
            <rFont val="돋움"/>
            <family val="3"/>
          </rPr>
          <t>학년별 수업일수 입력
(학생부 기준: 1학년 190일 이상)</t>
        </r>
      </text>
    </comment>
    <comment ref="N6" authorId="2">
      <text>
        <r>
          <rPr>
            <b/>
            <sz val="11"/>
            <rFont val="돋움"/>
            <family val="3"/>
          </rPr>
          <t>학년별 무단결석 입력
(학생부 기준)
없을 경우 공란으로 두어도 됨</t>
        </r>
      </text>
    </comment>
    <comment ref="O6" authorId="2">
      <text>
        <r>
          <rPr>
            <b/>
            <sz val="11"/>
            <rFont val="돋움"/>
            <family val="3"/>
          </rPr>
          <t>학년별 무단지각 입력
(학생부 기준)
없을 경우 공란으로 두어도 됨</t>
        </r>
      </text>
    </comment>
    <comment ref="P6" authorId="2">
      <text>
        <r>
          <rPr>
            <b/>
            <sz val="11"/>
            <rFont val="돋움"/>
            <family val="3"/>
          </rPr>
          <t>학년별 무단조퇴 입력
(학생부 기준)
없을 경우 공란으로 두어도 됨</t>
        </r>
      </text>
    </comment>
    <comment ref="Q6" authorId="2">
      <text>
        <r>
          <rPr>
            <b/>
            <sz val="11"/>
            <rFont val="돋움"/>
            <family val="3"/>
          </rPr>
          <t>학년별 무단결과 입력
(학생부 기준)
없을 경우 공란으로 두어도 됨</t>
        </r>
      </text>
    </comment>
    <comment ref="C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E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G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I7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M7" authorId="2">
      <text>
        <r>
          <rPr>
            <b/>
            <sz val="11"/>
            <rFont val="돋움"/>
            <family val="3"/>
          </rPr>
          <t>학년별 수업일수 입력
(학생부 기준: 2학년 190일 이상)</t>
        </r>
      </text>
    </comment>
    <comment ref="N7" authorId="2">
      <text>
        <r>
          <rPr>
            <b/>
            <sz val="11"/>
            <rFont val="돋움"/>
            <family val="3"/>
          </rPr>
          <t>학년별 무단결석 입력
(학생부 기준)
없을 경우 공란으로 두어도 됨</t>
        </r>
      </text>
    </comment>
    <comment ref="O7" authorId="2">
      <text>
        <r>
          <rPr>
            <b/>
            <sz val="11"/>
            <rFont val="돋움"/>
            <family val="3"/>
          </rPr>
          <t>학년별 무단지각 입력
(학생부 기준)
없을 경우 공란으로 두어도 됨</t>
        </r>
      </text>
    </comment>
    <comment ref="P7" authorId="2">
      <text>
        <r>
          <rPr>
            <b/>
            <sz val="11"/>
            <rFont val="돋움"/>
            <family val="3"/>
          </rPr>
          <t>학년별 무단조퇴 입력
(학생부 기준)
없을 경우 공란으로 두어도 됨</t>
        </r>
      </text>
    </comment>
    <comment ref="Q7" authorId="2">
      <text>
        <r>
          <rPr>
            <b/>
            <sz val="11"/>
            <rFont val="돋움"/>
            <family val="3"/>
          </rPr>
          <t>학년별 무단결과 입력
(학생부 기준)
없을 경우 공란으로 두어도 됨</t>
        </r>
      </text>
    </comment>
    <comment ref="M8" authorId="2">
      <text>
        <r>
          <rPr>
            <b/>
            <sz val="11"/>
            <rFont val="돋움"/>
            <family val="3"/>
          </rPr>
          <t xml:space="preserve">학년별 수업일수 입력
1. </t>
        </r>
        <r>
          <rPr>
            <b/>
            <sz val="11"/>
            <color indexed="10"/>
            <rFont val="돋움"/>
            <family val="3"/>
          </rPr>
          <t>점수 산출 연습일 경우 : 105 이상을 입력합니다</t>
        </r>
        <r>
          <rPr>
            <b/>
            <sz val="11"/>
            <rFont val="돋움"/>
            <family val="3"/>
          </rPr>
          <t>.
2. 재학생 : 3학년 9월30일까지 수업일수가
              학교생활기록부에 반영되어야 함.
              105일 이상 입력을 하셔야 합니다.
3. 졸업생 : 졸업일까지 수업일수 입력</t>
        </r>
      </text>
    </comment>
    <comment ref="N8" authorId="2">
      <text>
        <r>
          <rPr>
            <b/>
            <sz val="11"/>
            <rFont val="돋움"/>
            <family val="3"/>
          </rPr>
          <t>학년별 무단결석 입력
(학생부 기준)
없을 경우 공란으로 두어도 됨</t>
        </r>
      </text>
    </comment>
    <comment ref="O8" authorId="2">
      <text>
        <r>
          <rPr>
            <b/>
            <sz val="11"/>
            <rFont val="돋움"/>
            <family val="3"/>
          </rPr>
          <t>학년별 무단지각 입력
(학생부 기준)
없을 경우 공란으로 두어도 됨</t>
        </r>
      </text>
    </comment>
    <comment ref="P8" authorId="2">
      <text>
        <r>
          <rPr>
            <b/>
            <sz val="11"/>
            <rFont val="돋움"/>
            <family val="3"/>
          </rPr>
          <t>학년별 무단조퇴 입력
(학생부 기준)
없을 경우 공란으로 두어도 됨</t>
        </r>
      </text>
    </comment>
    <comment ref="Q8" authorId="2">
      <text>
        <r>
          <rPr>
            <b/>
            <sz val="11"/>
            <rFont val="돋움"/>
            <family val="3"/>
          </rPr>
          <t>학년별 무단결과 입력
(학생부 기준)
없을 경우 공란으로 두어도 됨</t>
        </r>
      </text>
    </comment>
    <comment ref="AK10" authorId="2">
      <text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학년 교내 및 교외봉사활동 시간을 합산 입력
(학교생활기록부 기준)</t>
        </r>
      </text>
    </comment>
    <comment ref="AL10" authorId="2">
      <text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>)</t>
        </r>
      </text>
    </comment>
    <comment ref="AM10" authorId="2">
      <text>
        <r>
          <rPr>
            <b/>
            <sz val="11"/>
            <rFont val="Tahoma"/>
            <family val="2"/>
          </rPr>
          <t>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 xml:space="preserve"> 2012.9.30</t>
        </r>
        <r>
          <rPr>
            <b/>
            <sz val="11"/>
            <rFont val="돋움"/>
            <family val="3"/>
          </rPr>
          <t>까지</t>
        </r>
        <r>
          <rPr>
            <b/>
            <sz val="11"/>
            <rFont val="Tahoma"/>
            <family val="2"/>
          </rPr>
          <t>)</t>
        </r>
      </text>
    </comment>
    <comment ref="P12" authorId="1">
      <text>
        <r>
          <rPr>
            <b/>
            <sz val="11"/>
            <rFont val="돋움"/>
            <family val="3"/>
          </rPr>
          <t>학년별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수업일수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확인
</t>
        </r>
        <r>
          <rPr>
            <b/>
            <sz val="11"/>
            <rFont val="Tahoma"/>
            <family val="2"/>
          </rPr>
          <t xml:space="preserve">1.  </t>
        </r>
        <r>
          <rPr>
            <b/>
            <sz val="11"/>
            <rFont val="돋움"/>
            <family val="3"/>
          </rPr>
          <t>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마친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</t>
        </r>
        <r>
          <rPr>
            <b/>
            <sz val="11"/>
            <rFont val="Tahoma"/>
            <family val="2"/>
          </rPr>
          <t xml:space="preserve"> : 190</t>
        </r>
        <r>
          <rPr>
            <b/>
            <sz val="11"/>
            <rFont val="돋움"/>
            <family val="3"/>
          </rPr>
          <t>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이상
</t>
        </r>
        <r>
          <rPr>
            <b/>
            <sz val="11"/>
            <rFont val="Tahoma"/>
            <family val="2"/>
          </rPr>
          <t>2.  3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졸업예정자는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최소</t>
        </r>
        <r>
          <rPr>
            <b/>
            <sz val="11"/>
            <rFont val="Tahoma"/>
            <family val="2"/>
          </rPr>
          <t xml:space="preserve"> 115</t>
        </r>
        <r>
          <rPr>
            <b/>
            <sz val="11"/>
            <rFont val="돋움"/>
            <family val="3"/>
          </rPr>
          <t>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이상이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나와야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출석성적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계산이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됩니다</t>
        </r>
        <r>
          <rPr>
            <b/>
            <sz val="11"/>
            <rFont val="Tahoma"/>
            <family val="2"/>
          </rPr>
          <t>.</t>
        </r>
      </text>
    </comment>
    <comment ref="C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E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G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I20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C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E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G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I21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C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E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G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I22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
       수-&gt;A, 우-&gt;B, 미-&gt;C
       우수-&gt;A, 보통-&gt;B, 미흡-&gt;C</t>
        </r>
      </text>
    </comment>
    <comment ref="M22" authorId="2">
      <text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학년 교내 및 교외봉사활동 시간을 합산 입력
(학교생활기록부 기준)</t>
        </r>
      </text>
    </comment>
    <comment ref="N22" authorId="2">
      <text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>)</t>
        </r>
      </text>
    </comment>
    <comment ref="O22" authorId="2">
      <text>
        <r>
          <rPr>
            <b/>
            <sz val="11"/>
            <rFont val="Tahoma"/>
            <family val="2"/>
          </rPr>
          <t>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및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교외봉사활동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시간을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합산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입력
</t>
        </r>
        <r>
          <rPr>
            <b/>
            <sz val="11"/>
            <rFont val="Tahoma"/>
            <family val="2"/>
          </rPr>
          <t xml:space="preserve">1. </t>
        </r>
        <r>
          <rPr>
            <b/>
            <sz val="11"/>
            <rFont val="돋움"/>
            <family val="3"/>
          </rPr>
          <t>졸업예정자</t>
        </r>
        <r>
          <rPr>
            <b/>
            <sz val="11"/>
            <rFont val="Tahoma"/>
            <family val="2"/>
          </rPr>
          <t xml:space="preserve"> : 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9.30</t>
        </r>
        <r>
          <rPr>
            <b/>
            <sz val="11"/>
            <rFont val="돋움"/>
            <family val="3"/>
          </rPr>
          <t xml:space="preserve">까지
</t>
        </r>
        <r>
          <rPr>
            <b/>
            <sz val="11"/>
            <rFont val="Tahoma"/>
            <family val="2"/>
          </rPr>
          <t xml:space="preserve">2. </t>
        </r>
        <r>
          <rPr>
            <b/>
            <sz val="11"/>
            <rFont val="돋움"/>
            <family val="3"/>
          </rPr>
          <t>졸업자</t>
        </r>
        <r>
          <rPr>
            <b/>
            <sz val="11"/>
            <rFont val="Tahoma"/>
            <family val="2"/>
          </rPr>
          <t xml:space="preserve">         : 3</t>
        </r>
        <r>
          <rPr>
            <b/>
            <sz val="11"/>
            <rFont val="돋움"/>
            <family val="3"/>
          </rPr>
          <t>학년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 xml:space="preserve">졸업일까지
</t>
        </r>
        <r>
          <rPr>
            <b/>
            <sz val="11"/>
            <rFont val="Tahoma"/>
            <family val="2"/>
          </rPr>
          <t>(</t>
        </r>
        <r>
          <rPr>
            <b/>
            <sz val="11"/>
            <rFont val="돋움"/>
            <family val="3"/>
          </rPr>
          <t>학교생활기록부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기준</t>
        </r>
        <r>
          <rPr>
            <b/>
            <sz val="11"/>
            <rFont val="Tahoma"/>
            <family val="2"/>
          </rPr>
          <t>)</t>
        </r>
      </text>
    </comment>
    <comment ref="B23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C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E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G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I23" authorId="0">
      <text>
        <r>
          <rPr>
            <b/>
            <sz val="11"/>
            <rFont val="돋움"/>
            <family val="3"/>
          </rPr>
          <t>1. 학기별로 학교생활기록부에 기록된 해당과목의 성취도를 선택함.
2. 미이수 학기는 '공란'으로 둡니다.
3. 잘못 입력된 값을 지울 때 : Delete Key를 누릅니다.
예시) A, B, C, D, E
       수-&gt;A, 우-&gt;B, 미-&gt;C, 양-&gt;D, 가-&gt;E</t>
        </r>
      </text>
    </comment>
    <comment ref="B24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5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6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7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B28" authorId="3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C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E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G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I30" authorId="2">
      <text>
        <r>
          <rPr>
            <b/>
            <sz val="12"/>
            <rFont val="Tahoma"/>
            <family val="2"/>
          </rPr>
          <t xml:space="preserve">&gt; </t>
        </r>
        <r>
          <rPr>
            <b/>
            <sz val="12"/>
            <rFont val="돋움"/>
            <family val="3"/>
          </rPr>
          <t>학기별로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교과목수입니다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과목이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누락된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것이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없는지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다시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한번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확인바랍니다</t>
        </r>
        <r>
          <rPr>
            <b/>
            <sz val="12"/>
            <rFont val="Tahoma"/>
            <family val="2"/>
          </rPr>
          <t xml:space="preserve">.
&gt; </t>
        </r>
        <r>
          <rPr>
            <b/>
            <sz val="12"/>
            <rFont val="돋움"/>
            <family val="3"/>
          </rPr>
          <t>반드시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학교생활기록부와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대조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확인합니다</t>
        </r>
        <r>
          <rPr>
            <b/>
            <sz val="12"/>
            <rFont val="Tahoma"/>
            <family val="2"/>
          </rPr>
          <t>.</t>
        </r>
      </text>
    </comment>
    <comment ref="Q30" authorId="1">
      <text>
        <r>
          <rPr>
            <b/>
            <sz val="9"/>
            <rFont val="Tahoma"/>
            <family val="2"/>
          </rPr>
          <t xml:space="preserve">"Yes"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"No"  </t>
        </r>
        <r>
          <rPr>
            <b/>
            <sz val="9"/>
            <rFont val="돋움"/>
            <family val="3"/>
          </rPr>
          <t>중에서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택일하여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입력함</t>
        </r>
        <r>
          <rPr>
            <b/>
            <sz val="9"/>
            <rFont val="Tahoma"/>
            <family val="2"/>
          </rPr>
          <t>.</t>
        </r>
        <r>
          <rPr>
            <b/>
            <sz val="9"/>
            <rFont val="돋움"/>
            <family val="3"/>
          </rPr>
          <t xml:space="preserve">
</t>
        </r>
      </text>
    </comment>
    <comment ref="S53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  <comment ref="T53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  <comment ref="S54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  <comment ref="T54" authorId="1">
      <text>
        <r>
          <rPr>
            <b/>
            <sz val="12"/>
            <rFont val="돋움"/>
            <family val="3"/>
          </rPr>
          <t>지원자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선택사항</t>
        </r>
      </text>
    </comment>
  </commentList>
</comments>
</file>

<file path=xl/comments7.xml><?xml version="1.0" encoding="utf-8"?>
<comments xmlns="http://schemas.openxmlformats.org/spreadsheetml/2006/main">
  <authors>
    <author>이주성</author>
  </authors>
  <commentList>
    <comment ref="G8" authorId="0">
      <text>
        <r>
          <rPr>
            <b/>
            <sz val="12"/>
            <rFont val="돋움"/>
            <family val="3"/>
          </rPr>
          <t>보호자의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생년월일을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입력합니다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2"/>
            <rFont val="돋움"/>
            <family val="3"/>
          </rPr>
          <t>날짜형식으로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입력합니다</t>
        </r>
        <r>
          <rPr>
            <b/>
            <sz val="12"/>
            <rFont val="Tahoma"/>
            <family val="2"/>
          </rPr>
          <t xml:space="preserve">.
65-10-1 </t>
        </r>
        <r>
          <rPr>
            <b/>
            <sz val="12"/>
            <rFont val="돋움"/>
            <family val="3"/>
          </rPr>
          <t>또는</t>
        </r>
        <r>
          <rPr>
            <b/>
            <sz val="12"/>
            <rFont val="Tahoma"/>
            <family val="2"/>
          </rPr>
          <t xml:space="preserve"> 65/10/1</t>
        </r>
      </text>
    </comment>
  </commentList>
</comments>
</file>

<file path=xl/comments9.xml><?xml version="1.0" encoding="utf-8"?>
<comments xmlns="http://schemas.openxmlformats.org/spreadsheetml/2006/main">
  <authors>
    <author>sec</author>
  </authors>
  <commentList>
    <comment ref="FH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I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J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K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L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FM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D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E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F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G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H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GZ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A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B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C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D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V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W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X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Y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  <comment ref="HZ3" authorId="0">
      <text>
        <r>
          <rPr>
            <b/>
            <sz val="11"/>
            <rFont val="돋움"/>
            <family val="3"/>
          </rPr>
          <t>1. 학교생활기록부에 표기되어 있으나,
  원서양식에 과목이 표시되지 않은 과목을 입력하세요.
  (예시, 정보기술기초 등)</t>
        </r>
      </text>
    </comment>
  </commentList>
</comments>
</file>

<file path=xl/sharedStrings.xml><?xml version="1.0" encoding="utf-8"?>
<sst xmlns="http://schemas.openxmlformats.org/spreadsheetml/2006/main" count="1328" uniqueCount="973">
  <si>
    <t>수 험 표</t>
  </si>
  <si>
    <t>수험번호</t>
  </si>
  <si>
    <t>지원학과</t>
  </si>
  <si>
    <t>출신학교</t>
  </si>
  <si>
    <t>울산마이스터고등학교장</t>
  </si>
  <si>
    <t>입학원서 접수증</t>
  </si>
  <si>
    <t>원서 접수</t>
  </si>
  <si>
    <t>구비서류 제출</t>
  </si>
  <si>
    <t>합격자 소집(1차)</t>
  </si>
  <si>
    <t>성 명</t>
  </si>
  <si>
    <t>주 소</t>
  </si>
  <si>
    <t>국어</t>
  </si>
  <si>
    <t>도덕</t>
  </si>
  <si>
    <t>사회</t>
  </si>
  <si>
    <t>과학</t>
  </si>
  <si>
    <t>과목</t>
  </si>
  <si>
    <t>과목</t>
  </si>
  <si>
    <t>1학년</t>
  </si>
  <si>
    <t>2학년</t>
  </si>
  <si>
    <t>3학년</t>
  </si>
  <si>
    <t>계</t>
  </si>
  <si>
    <t>영어</t>
  </si>
  <si>
    <t>울산마이스터고등학교장 귀하</t>
  </si>
  <si>
    <t>합격자 소집(2차)</t>
  </si>
  <si>
    <t>원서 접수시 제출</t>
  </si>
  <si>
    <t>1차전형 합격자발표</t>
  </si>
  <si>
    <t>최종 합격자 발표</t>
  </si>
  <si>
    <t>합격증 교부</t>
  </si>
  <si>
    <t>성     명</t>
  </si>
  <si>
    <t>일반전형</t>
  </si>
  <si>
    <t>2지망학과</t>
  </si>
  <si>
    <t>3지망학과</t>
  </si>
  <si>
    <t>성명</t>
  </si>
  <si>
    <t>1지망학과</t>
  </si>
  <si>
    <t>전형구분</t>
  </si>
  <si>
    <t>일반전형</t>
  </si>
  <si>
    <t>특별전형</t>
  </si>
  <si>
    <t>영어</t>
  </si>
  <si>
    <t>수학</t>
  </si>
  <si>
    <t>기회균등전형</t>
  </si>
  <si>
    <t>사회다양성전형</t>
  </si>
  <si>
    <t>졸업예정</t>
  </si>
  <si>
    <t>졸업</t>
  </si>
  <si>
    <t>검정고시합격</t>
  </si>
  <si>
    <t>전기시스템제어과</t>
  </si>
  <si>
    <t>산업설비과</t>
  </si>
  <si>
    <t>정밀기계과</t>
  </si>
  <si>
    <t>(</t>
  </si>
  <si>
    <t xml:space="preserve">) </t>
  </si>
  <si>
    <t>역사</t>
  </si>
  <si>
    <t>졸업</t>
  </si>
  <si>
    <t>졸업예정자</t>
  </si>
  <si>
    <t>졸업자</t>
  </si>
  <si>
    <t>봉사활동 점수 산출 조견표</t>
  </si>
  <si>
    <t>졸업예정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</si>
  <si>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</si>
  <si>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</si>
  <si>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</si>
  <si>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</si>
  <si>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</si>
  <si>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</si>
  <si>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</si>
  <si>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세종특별자치시</t>
  </si>
  <si>
    <t>경기도</t>
  </si>
  <si>
    <t>강원도</t>
  </si>
  <si>
    <t>제주특별자치도</t>
  </si>
  <si>
    <t>충청북도</t>
  </si>
  <si>
    <t>충청남도</t>
  </si>
  <si>
    <t>전라북도</t>
  </si>
  <si>
    <t>전라남도</t>
  </si>
  <si>
    <t>경상북도</t>
  </si>
  <si>
    <t>경상남도</t>
  </si>
  <si>
    <t>학력</t>
  </si>
  <si>
    <t>울산마이스터고등학교장</t>
  </si>
  <si>
    <t>기가</t>
  </si>
  <si>
    <t>학생 주소</t>
  </si>
  <si>
    <t>입학원서 작성안내 및 유의사항</t>
  </si>
  <si>
    <t>1) 연두색 음영 부분만 입력 가능합니다.</t>
  </si>
  <si>
    <t>출신지역</t>
  </si>
  <si>
    <t>입학원서 작성요령</t>
  </si>
  <si>
    <t>출결
(60)</t>
  </si>
  <si>
    <t>학력 /
전형구분</t>
  </si>
  <si>
    <t>일반전형 점수</t>
  </si>
  <si>
    <t>접수번호</t>
  </si>
  <si>
    <t>지원학생</t>
  </si>
  <si>
    <t>학생 출신학교</t>
  </si>
  <si>
    <t>지원 유형</t>
  </si>
  <si>
    <t>부정입학 방지를 위한 학부모 확인서</t>
  </si>
  <si>
    <t>.</t>
  </si>
  <si>
    <t>울산마이스터고등학교장 귀하</t>
  </si>
  <si>
    <t>지원자격을 준수하지 않거나 지원자격이 없음에도 증명서 위조 등 부정한 방법으로</t>
  </si>
  <si>
    <t>합격한 사실이 확인될 경우에는 합격 및 입학이 취소될 수 있음을 확인합니다.</t>
  </si>
  <si>
    <t xml:space="preserve">   본인은 사회통합 전형(특별전형) 지원 자격에 적합하게 지원하였음을 서약하며,</t>
  </si>
  <si>
    <t>보호자</t>
  </si>
  <si>
    <t>학교전화번호</t>
  </si>
  <si>
    <t>학교FAX번호</t>
  </si>
  <si>
    <t>입력된 과목수</t>
  </si>
  <si>
    <t xml:space="preserve">     졸업생은 1학년부터 졸업일까지 출결사항을 입력합니다.</t>
  </si>
  <si>
    <t>졸업예정</t>
  </si>
  <si>
    <t>시수총계</t>
  </si>
  <si>
    <t>점수</t>
  </si>
  <si>
    <t>국가유공자전형</t>
  </si>
  <si>
    <t>특례입학전형</t>
  </si>
  <si>
    <t>졸업예정_일반전형</t>
  </si>
  <si>
    <t>졸업_일반전형</t>
  </si>
  <si>
    <t>졸업예정_국가유공자전형</t>
  </si>
  <si>
    <t>졸업예정_특례입학전형</t>
  </si>
  <si>
    <t>졸업_국가유공자전형</t>
  </si>
  <si>
    <t>졸업_특례입학전형</t>
  </si>
  <si>
    <t>차상위계층</t>
  </si>
  <si>
    <t>차상위계층</t>
  </si>
  <si>
    <t>소년소녀가장</t>
  </si>
  <si>
    <t>검정고시 석차백분율 산출조견표</t>
  </si>
  <si>
    <t>합격점수</t>
  </si>
  <si>
    <t>제 2지망</t>
  </si>
  <si>
    <t>제 3지망</t>
  </si>
  <si>
    <t>지망학과표</t>
  </si>
  <si>
    <t>학력구분표</t>
  </si>
  <si>
    <t>전형구분표</t>
  </si>
  <si>
    <t>광역시도표</t>
  </si>
  <si>
    <t>관계 : 지원자(학생)의</t>
  </si>
  <si>
    <t>학생 성명</t>
  </si>
  <si>
    <t>학생 전화번호</t>
  </si>
  <si>
    <t>원서 작성일자</t>
  </si>
  <si>
    <t>일반전형</t>
  </si>
  <si>
    <t>국가유공자전형</t>
  </si>
  <si>
    <t>특례입학전형</t>
  </si>
  <si>
    <t>국민기초생활수급자</t>
  </si>
  <si>
    <t>소년소녀가장</t>
  </si>
  <si>
    <t>다자녀가구(3자녀 이상)</t>
  </si>
  <si>
    <t>울산 혁신도시 이전기관 종사자의 자녀</t>
  </si>
  <si>
    <t>중학교졸업
학력 취득</t>
  </si>
  <si>
    <t>졸업(예정)일</t>
  </si>
  <si>
    <t>검정고시 합격 년도</t>
  </si>
  <si>
    <t>학생 생년월일</t>
  </si>
  <si>
    <t>우편번호</t>
  </si>
  <si>
    <t>학생 집주소</t>
  </si>
  <si>
    <t>광역시·도</t>
  </si>
  <si>
    <t>시·군·구</t>
  </si>
  <si>
    <t>읍·면·동 이하 상세주소</t>
  </si>
  <si>
    <t>전기시스템제어과</t>
  </si>
  <si>
    <t>산업설비과</t>
  </si>
  <si>
    <t>정밀기계과</t>
  </si>
  <si>
    <t>학교 전화번호</t>
  </si>
  <si>
    <t>학교 FAX 번호</t>
  </si>
  <si>
    <t>유형</t>
  </si>
  <si>
    <t>구분</t>
  </si>
  <si>
    <t>특별전형 유형 및 구분표</t>
  </si>
  <si>
    <t>번</t>
  </si>
  <si>
    <t>3학년 반, 번호 입력</t>
  </si>
  <si>
    <t>반</t>
  </si>
  <si>
    <t>검정고시 합격 점수</t>
  </si>
  <si>
    <t>출신 중학교명</t>
  </si>
  <si>
    <t>학교명</t>
  </si>
  <si>
    <t>연번</t>
  </si>
  <si>
    <t>검정고시</t>
  </si>
  <si>
    <t>3지망(희망) 안함</t>
  </si>
  <si>
    <t>2지망(희망) 안함</t>
  </si>
  <si>
    <t>중국어</t>
  </si>
  <si>
    <t>독일어</t>
  </si>
  <si>
    <t>일본어</t>
  </si>
  <si>
    <t>한문</t>
  </si>
  <si>
    <t>체육</t>
  </si>
  <si>
    <t>컴퓨터</t>
  </si>
  <si>
    <t>성취도</t>
  </si>
  <si>
    <t>A</t>
  </si>
  <si>
    <t>성취도표</t>
  </si>
  <si>
    <t>B</t>
  </si>
  <si>
    <t>C</t>
  </si>
  <si>
    <t>D</t>
  </si>
  <si>
    <t>E</t>
  </si>
  <si>
    <t>수</t>
  </si>
  <si>
    <t>우</t>
  </si>
  <si>
    <t>미</t>
  </si>
  <si>
    <t>양</t>
  </si>
  <si>
    <t>가</t>
  </si>
  <si>
    <t>우수</t>
  </si>
  <si>
    <t>보통</t>
  </si>
  <si>
    <t>미흡</t>
  </si>
  <si>
    <t>학력_전형 구분</t>
  </si>
  <si>
    <t>검정고시_일반전형</t>
  </si>
  <si>
    <t>검정고시_국가유공자전형</t>
  </si>
  <si>
    <t>검정고시_특례입학전형</t>
  </si>
  <si>
    <t>코드</t>
  </si>
  <si>
    <t>전과목
점수</t>
  </si>
  <si>
    <t>2-1학기</t>
  </si>
  <si>
    <t>2-2학기</t>
  </si>
  <si>
    <t>3-1학기</t>
  </si>
  <si>
    <t>3-2학기</t>
  </si>
  <si>
    <t>3과목
가중치
점수(30)</t>
  </si>
  <si>
    <t>검정고시조견표 년도위치</t>
  </si>
  <si>
    <t>검정고시 석차백분율(%)</t>
  </si>
  <si>
    <t>검정고시
응시교육청</t>
  </si>
  <si>
    <t>보호자 성명</t>
  </si>
  <si>
    <t>보호자
전화번호</t>
  </si>
  <si>
    <t>과목별 가중치</t>
  </si>
  <si>
    <t>기.가
(10)</t>
  </si>
  <si>
    <t>졸업예정</t>
  </si>
  <si>
    <t>졸업</t>
  </si>
  <si>
    <t>수학</t>
  </si>
  <si>
    <t>기술·가정</t>
  </si>
  <si>
    <t>영어</t>
  </si>
  <si>
    <t>가중치과목 성취도 평균</t>
  </si>
  <si>
    <t>가중치과목 점수</t>
  </si>
  <si>
    <t>계</t>
  </si>
  <si>
    <t>지망학과 선택 결과</t>
  </si>
  <si>
    <t>성별   :</t>
  </si>
  <si>
    <t>코드</t>
  </si>
  <si>
    <t>전형
구분</t>
  </si>
  <si>
    <t>특례입학 유형</t>
  </si>
  <si>
    <t>82조3항 제1호</t>
  </si>
  <si>
    <t>82조3항 제3호</t>
  </si>
  <si>
    <t>지역 :</t>
  </si>
  <si>
    <t>제1지망</t>
  </si>
  <si>
    <t>제2지망</t>
  </si>
  <si>
    <t>제3지망</t>
  </si>
  <si>
    <t>전형구분</t>
  </si>
  <si>
    <t xml:space="preserve">보호자 : </t>
  </si>
  <si>
    <t>(인)</t>
  </si>
  <si>
    <t>지원자 :</t>
  </si>
  <si>
    <t>구분</t>
  </si>
  <si>
    <t>1차
전형
점수</t>
  </si>
  <si>
    <t>지망
학과</t>
  </si>
  <si>
    <t>학력</t>
  </si>
  <si>
    <t>※</t>
  </si>
  <si>
    <t>지원자</t>
  </si>
  <si>
    <t>성명</t>
  </si>
  <si>
    <t>생년월일</t>
  </si>
  <si>
    <t>성별</t>
  </si>
  <si>
    <t>남자</t>
  </si>
  <si>
    <t>연락처</t>
  </si>
  <si>
    <t>주소</t>
  </si>
  <si>
    <t>사  진
(3cm X 4cm)
최근 3개월
이내</t>
  </si>
  <si>
    <t>위의 기재 사항은 사실과 다름이 없음을 확인하며
위 학생을 귀교의 입학대상자로 추천합니다.</t>
  </si>
  <si>
    <t>주소:</t>
  </si>
  <si>
    <t>전화:</t>
  </si>
  <si>
    <t>팩스:</t>
  </si>
  <si>
    <t>접수번호 :</t>
  </si>
  <si>
    <t>수험번호 :</t>
  </si>
  <si>
    <t>1지망학과 :</t>
  </si>
  <si>
    <t>2지망학과 :</t>
  </si>
  <si>
    <t>3지망학과 :</t>
  </si>
  <si>
    <t>사  진
(3cm X 4cm)
최근 3개월
이내</t>
  </si>
  <si>
    <t>학교장</t>
  </si>
  <si>
    <t>직인</t>
  </si>
  <si>
    <t>접수번호</t>
  </si>
  <si>
    <t xml:space="preserve">          ※  접수자  :                       (인)</t>
  </si>
  <si>
    <t>주요 전형 일정</t>
  </si>
  <si>
    <t>2차전형(면접,신검)일시</t>
  </si>
  <si>
    <t>생년월일</t>
  </si>
  <si>
    <t>특기사항(특별, 정원외전형 종류)</t>
  </si>
  <si>
    <t>인적성검사 점수</t>
  </si>
  <si>
    <t>2차전형점수</t>
  </si>
  <si>
    <t>일반전형</t>
  </si>
  <si>
    <t>특별전형</t>
  </si>
  <si>
    <t>검정고시합격</t>
  </si>
  <si>
    <t>합격년도</t>
  </si>
  <si>
    <t>합격점수</t>
  </si>
  <si>
    <t>학생전화</t>
  </si>
  <si>
    <t>보호자전화</t>
  </si>
  <si>
    <t>학생 관련 정보</t>
  </si>
  <si>
    <t>보호자명</t>
  </si>
  <si>
    <t>관계</t>
  </si>
  <si>
    <t>보호자 관련 정보</t>
  </si>
  <si>
    <t>우편번호</t>
  </si>
  <si>
    <t>학력취득일</t>
  </si>
  <si>
    <t>학급(반)</t>
  </si>
  <si>
    <t>번호</t>
  </si>
  <si>
    <t>원서작성일</t>
  </si>
  <si>
    <t>광역시도</t>
  </si>
  <si>
    <t>시군구</t>
  </si>
  <si>
    <t>읍면동</t>
  </si>
  <si>
    <t>상세주소</t>
  </si>
  <si>
    <t>학과 지망순위</t>
  </si>
  <si>
    <t>1차전형 최종 점수</t>
  </si>
  <si>
    <t>학교명</t>
  </si>
  <si>
    <t>출신 학교 관련 정보</t>
  </si>
  <si>
    <t>시군구</t>
  </si>
  <si>
    <t>광역시도</t>
  </si>
  <si>
    <t>확인</t>
  </si>
  <si>
    <t>오류유무</t>
  </si>
  <si>
    <t>석차백분율</t>
  </si>
  <si>
    <t xml:space="preserve">  1지망 또는 2지망까지만 할 경우, 해당학과에 배정되지 못하면 불합격 처리함.</t>
  </si>
  <si>
    <r>
      <t xml:space="preserve">  1) '입학점수산출표 시트'에서 </t>
    </r>
    <r>
      <rPr>
        <b/>
        <sz val="12"/>
        <color indexed="10"/>
        <rFont val="맑은 고딕"/>
        <family val="3"/>
      </rPr>
      <t>과목별, 학기별로 성취도를 입력</t>
    </r>
    <r>
      <rPr>
        <sz val="12"/>
        <color indexed="8"/>
        <rFont val="맑은 고딕"/>
        <family val="3"/>
      </rPr>
      <t>합니다.</t>
    </r>
  </si>
  <si>
    <t xml:space="preserve">     (A,B,C,D,E, 수,우,미,양,가, 우수,보통,미흡 중에서 택일함.)</t>
  </si>
  <si>
    <r>
      <t xml:space="preserve">  </t>
    </r>
    <r>
      <rPr>
        <sz val="12"/>
        <color indexed="8"/>
        <rFont val="맑은 고딕"/>
        <family val="3"/>
      </rPr>
      <t>2) 과목명이 표시되지 않은 과목은 추가로 기입하고 해당학기의 성취도를 입력함.</t>
    </r>
  </si>
  <si>
    <t>성명</t>
  </si>
  <si>
    <t>연번</t>
  </si>
  <si>
    <t>계</t>
  </si>
  <si>
    <t>지원자 인적사항 및 선택사항</t>
  </si>
  <si>
    <t>졸업</t>
  </si>
  <si>
    <t>다자녀가구(3자녀 이상)</t>
  </si>
  <si>
    <t>다문화가정 자녀</t>
  </si>
  <si>
    <t>북한이탈주민 자녀</t>
  </si>
  <si>
    <t>울산 혁신도시 이전기관 종사자의 자녀</t>
  </si>
  <si>
    <t>북한이탈주민 자녀</t>
  </si>
  <si>
    <t>다문화가정 자녀</t>
  </si>
  <si>
    <t>조손가정 자녀</t>
  </si>
  <si>
    <t>조손가정 자녀</t>
  </si>
  <si>
    <t>국민기초생활수급자</t>
  </si>
  <si>
    <t>특별전형유형</t>
  </si>
  <si>
    <t>특별전형구분</t>
  </si>
  <si>
    <t>특례입학유형</t>
  </si>
  <si>
    <t>특별전형 유형 및 구분, 특례입학유형</t>
  </si>
  <si>
    <t>학생본인
전화번호</t>
  </si>
  <si>
    <t>보호자
전화번호</t>
  </si>
  <si>
    <t>1. '기본정보입력' 시트 입력</t>
  </si>
  <si>
    <t>2. '입학점수산출표' 시트 입력</t>
  </si>
  <si>
    <t xml:space="preserve"> 1) 졸업예정자는 1학년부터 3학년 9월 30일까지 봉사활동 시수를 입력합니다.</t>
  </si>
  <si>
    <t xml:space="preserve">  3) 졸업예정자는 1학년부터 3학년 9월 30일까지 출결사항을 입력합니다.</t>
  </si>
  <si>
    <t xml:space="preserve"> 2) 졸업생은 1학년부터 졸업일까지 봉사활동 시수를 입력합니다.</t>
  </si>
  <si>
    <r>
      <t xml:space="preserve">3) </t>
    </r>
    <r>
      <rPr>
        <b/>
        <sz val="12"/>
        <color rgb="FFFF0000"/>
        <rFont val="Calibri"/>
        <family val="3"/>
        <scheme val="minor"/>
      </rPr>
      <t>지망학과를 1지망~3지망까지 선택</t>
    </r>
    <r>
      <rPr>
        <sz val="12"/>
        <color theme="1"/>
        <rFont val="Calibri"/>
        <family val="3"/>
        <scheme val="minor"/>
      </rPr>
      <t>합니다.</t>
    </r>
  </si>
  <si>
    <t>입력 내용은 과목별 성취도, 출결, 봉사활동 항목입니다.</t>
  </si>
  <si>
    <t>② 신입생 입학점수 산출표 (엑셀양식 인쇄)</t>
  </si>
  <si>
    <t>성취도</t>
  </si>
  <si>
    <t>A</t>
  </si>
  <si>
    <t>B</t>
  </si>
  <si>
    <t>C</t>
  </si>
  <si>
    <t>D</t>
  </si>
  <si>
    <t>E</t>
  </si>
  <si>
    <t>수</t>
  </si>
  <si>
    <t>우</t>
  </si>
  <si>
    <t>미</t>
  </si>
  <si>
    <t>양</t>
  </si>
  <si>
    <t>가</t>
  </si>
  <si>
    <t>우수</t>
  </si>
  <si>
    <t>보통</t>
  </si>
  <si>
    <t>미흡</t>
  </si>
  <si>
    <t>계</t>
  </si>
  <si>
    <t>A</t>
  </si>
  <si>
    <t>B</t>
  </si>
  <si>
    <t>C</t>
  </si>
  <si>
    <t>D</t>
  </si>
  <si>
    <t>E</t>
  </si>
  <si>
    <t>2학년</t>
  </si>
  <si>
    <t>출결
횟수</t>
  </si>
  <si>
    <t>학년</t>
  </si>
  <si>
    <t>시간수</t>
  </si>
  <si>
    <t>기.가
(10)</t>
  </si>
  <si>
    <r>
      <t>환산 결석 일수</t>
    </r>
    <r>
      <rPr>
        <sz val="10"/>
        <rFont val="돋움"/>
        <family val="3"/>
      </rPr>
      <t xml:space="preserve"> (소수점 이하 버림)</t>
    </r>
  </si>
  <si>
    <t>과목수</t>
  </si>
  <si>
    <t>학기별
성취도 개수</t>
  </si>
  <si>
    <t>가중치교과
학기별 성취도</t>
  </si>
  <si>
    <t>수학</t>
  </si>
  <si>
    <t>영어</t>
  </si>
  <si>
    <t>기가</t>
  </si>
  <si>
    <t>성취도_수학</t>
  </si>
  <si>
    <t>성취도_기가</t>
  </si>
  <si>
    <t>성취도_영어</t>
  </si>
  <si>
    <t>지망학과
우선순위
선택</t>
  </si>
  <si>
    <t>전형구분
선택</t>
  </si>
  <si>
    <t>학력 구분
선택</t>
  </si>
  <si>
    <t>출신학교
정보입력</t>
  </si>
  <si>
    <t>보호자</t>
  </si>
  <si>
    <t>☜ 음영으로 표시된 란을 확인하세오.
☜ 자료 수정은 '기본정보입력' 또는 '입학점수산출표' 시트에서 합니다.</t>
  </si>
  <si>
    <t>서명은 인쇄후 자필로 합니다.</t>
  </si>
  <si>
    <t>※ 란은 작성 안함.</t>
  </si>
  <si>
    <t>☜ 사진은 입학원서를 인쇄 후 부착합니다.
☜ 사진파일을 삽입할 경우에는 컬러로 인쇄합니다.</t>
  </si>
  <si>
    <t>☜ 사진은 수험표를 인쇄 후 부착합니다.
☜ 사진파일을 삽입할 경우에는 컬러로 인쇄합니다.</t>
  </si>
  <si>
    <t>☜ 빗금으로 처리된 부분은 무시합니다.</t>
  </si>
  <si>
    <t>증빙서류</t>
  </si>
  <si>
    <t>③ 입학원서 1부 (엑셀양식 인쇄)</t>
  </si>
  <si>
    <t>④ 수험표(접수증) 1부 (엑셀양식 인쇄)</t>
  </si>
  <si>
    <t xml:space="preserve">
</t>
  </si>
  <si>
    <t>'작성안내' 시트를 읽고, 입력하여 인쇄 및 제출합니다.</t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</si>
  <si>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원서제출시 파일을 학교별로 USB에 저장하여 오시면 됩니다.</t>
    </r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</si>
  <si>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우편 접수시에는 파일을 이메일로 발송해주십시요.</t>
    </r>
  </si>
  <si>
    <r>
      <t xml:space="preserve"> </t>
    </r>
    <r>
      <rPr>
        <b/>
        <sz val="11"/>
        <color rgb="FFC00000"/>
        <rFont val="맑은고딕"/>
        <family val="3"/>
      </rPr>
      <t xml:space="preserve">  이메일주소 : 26002460@use.go.kr </t>
    </r>
  </si>
  <si>
    <r>
      <t xml:space="preserve"> </t>
    </r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입학안내 문의는 본교 홈페이지/입학안내를 참고바랍니다.  
    원서 작성 문의 전화 052-702-2012, 2011</t>
    </r>
  </si>
  <si>
    <r>
      <t xml:space="preserve"> </t>
    </r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울산마이스터고 학교홈페이지 http://www.ulsanmeister.hs.kr</t>
    </r>
  </si>
  <si>
    <r>
      <t xml:space="preserve"> </t>
    </r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원서 작성 문의 전화 052-702-2012, 2011</t>
    </r>
  </si>
  <si>
    <t>3.입학원서</t>
  </si>
  <si>
    <t>출신학교에서 원본대조필 및 학교장의 직인을 날인합니다.</t>
  </si>
  <si>
    <t>국민기초생활수급권자 증명서</t>
  </si>
  <si>
    <t>사회다양성전형</t>
  </si>
  <si>
    <r>
      <t>증빙</t>
    </r>
    <r>
      <rPr>
        <b/>
        <sz val="11"/>
        <color rgb="FF000000"/>
        <rFont val="휴먼명조"/>
        <family val="3"/>
      </rPr>
      <t>(</t>
    </r>
    <r>
      <rPr>
        <b/>
        <sz val="11"/>
        <color rgb="FF000000"/>
        <rFont val="Calibri"/>
        <family val="3"/>
        <scheme val="minor"/>
      </rPr>
      <t>제출</t>
    </r>
    <r>
      <rPr>
        <b/>
        <sz val="11"/>
        <color rgb="FF000000"/>
        <rFont val="휴먼명조"/>
        <family val="3"/>
      </rPr>
      <t xml:space="preserve">) </t>
    </r>
    <r>
      <rPr>
        <b/>
        <sz val="11"/>
        <color rgb="FF000000"/>
        <rFont val="Calibri"/>
        <family val="3"/>
        <scheme val="minor"/>
      </rPr>
      <t>서류</t>
    </r>
  </si>
  <si>
    <r>
      <t>가족관계증명서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기타 증빙서류</t>
    </r>
  </si>
  <si>
    <r>
      <t xml:space="preserve">부모혼인관계 증명서 </t>
    </r>
    <r>
      <rPr>
        <sz val="11"/>
        <color rgb="FF000000"/>
        <rFont val="휴먼명조"/>
        <family val="3"/>
      </rPr>
      <t xml:space="preserve">&amp; </t>
    </r>
    <r>
      <rPr>
        <sz val="11"/>
        <color rgb="FF000000"/>
        <rFont val="Calibri"/>
        <family val="3"/>
        <scheme val="minor"/>
      </rPr>
      <t>가족관계증명서</t>
    </r>
  </si>
  <si>
    <t>유형 및 구분</t>
  </si>
  <si>
    <t xml:space="preserve">소년소녀가장 </t>
  </si>
  <si>
    <t>조손가정</t>
  </si>
  <si>
    <t>북한이탈주민 등록 확인서 또는 북한 이탈주민 보호대상자 결정통지서</t>
  </si>
  <si>
    <r>
      <t xml:space="preserve">혁신도시 이전기관 종사자의 재직증명서 </t>
    </r>
    <r>
      <rPr>
        <sz val="11"/>
        <color rgb="FF000000"/>
        <rFont val="휴먼명조"/>
        <family val="3"/>
      </rPr>
      <t xml:space="preserve">&amp; </t>
    </r>
    <r>
      <rPr>
        <sz val="11"/>
        <color rgb="FF000000"/>
        <rFont val="Calibri"/>
        <family val="3"/>
        <scheme val="minor"/>
      </rPr>
      <t>가족관계증명서</t>
    </r>
  </si>
  <si>
    <t>국가유공자는 관할 보훈지청에서 '교육지원 대상자 증명서' 발급</t>
  </si>
  <si>
    <t>기회균등전형</t>
  </si>
  <si>
    <t>국민기초생활수급자</t>
  </si>
  <si>
    <t>차상위계층</t>
  </si>
  <si>
    <t>다문화가정</t>
  </si>
  <si>
    <t>북한이탈주민</t>
  </si>
  <si>
    <t>혁신도시이전기관 종사자</t>
  </si>
  <si>
    <t>다자녀가구
(3자녀 이상)</t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</si>
  <si>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수험표와 접수증 : 우편으로 접수한 학생은 1차 합격자에 한하여 면접일에 본교에서 배부합니다.</t>
    </r>
  </si>
  <si>
    <r>
      <rPr>
        <b/>
        <sz val="11"/>
        <color rgb="FFFF0000"/>
        <rFont val="Calibri"/>
        <family val="3"/>
        <scheme val="minor"/>
      </rPr>
      <t xml:space="preserve">공통 </t>
    </r>
    <r>
      <rPr>
        <b/>
        <sz val="11"/>
        <color rgb="FFFF0000"/>
        <rFont val="휴먼명조"/>
        <family val="3"/>
      </rPr>
      <t xml:space="preserve">: </t>
    </r>
    <r>
      <rPr>
        <sz val="11"/>
        <color rgb="FF000000"/>
        <rFont val="Calibri"/>
        <family val="3"/>
        <scheme val="minor"/>
      </rPr>
      <t>주민등록등본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가족관계증명서</t>
    </r>
  </si>
  <si>
    <r>
      <t>가족관계증명서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기타 증빙서류</t>
    </r>
  </si>
  <si>
    <t>특례입학전형은 주민등록등본,
초·중등교육법시행령 제82조(입학전형방법) 3항 제1호~제3호에 해당하는 관련 증빙 서류 제출</t>
  </si>
  <si>
    <t>(일반전형, 국가유공자전형, 특례입학전형 지원자는 작성하지 않습니다.)</t>
  </si>
  <si>
    <t>수업
일수</t>
  </si>
  <si>
    <t>수업일수 오류의심 확인</t>
  </si>
  <si>
    <t>오류여부</t>
  </si>
  <si>
    <t xml:space="preserve">특례입학, 검정고시는 오류여부 확인을 안함. </t>
  </si>
  <si>
    <t>판단</t>
  </si>
  <si>
    <t>봉사활동 시수 입력</t>
  </si>
  <si>
    <t>1학년</t>
  </si>
  <si>
    <t>2학년</t>
  </si>
  <si>
    <t>3학년</t>
  </si>
  <si>
    <t>계</t>
  </si>
  <si>
    <t>수업일수</t>
  </si>
  <si>
    <t>결석</t>
  </si>
  <si>
    <t>지각</t>
  </si>
  <si>
    <t>조퇴</t>
  </si>
  <si>
    <t>결과</t>
  </si>
  <si>
    <t>환산
결석일수</t>
  </si>
  <si>
    <t xml:space="preserve">2.입학점수산출표 </t>
  </si>
  <si>
    <t>4.수험표(접수증)</t>
  </si>
  <si>
    <t>2-1학기
성취도</t>
  </si>
  <si>
    <t>2-2학기
성취도</t>
  </si>
  <si>
    <t>3-1학기
성취도</t>
  </si>
  <si>
    <t>3-2학기
성취도</t>
  </si>
  <si>
    <t>2-2학기</t>
  </si>
  <si>
    <t>3-2학기</t>
  </si>
  <si>
    <t>학기별 성적유무 체크 결과</t>
  </si>
  <si>
    <t>울산지역
중학교</t>
  </si>
  <si>
    <t>제 1지망</t>
  </si>
  <si>
    <t>주소입력 검사</t>
  </si>
  <si>
    <t>오류검증
(정상:T, 오류:F)</t>
  </si>
  <si>
    <t>최종오류
(정상:T, 오류:F)</t>
  </si>
  <si>
    <t>수학</t>
  </si>
  <si>
    <t>1학년</t>
  </si>
  <si>
    <t>1.학교생활기록부Ⅱ</t>
  </si>
  <si>
    <t>① 학교생활기록부Ⅱ 1부 (원본대조필 및 학교장 직인 날인)</t>
  </si>
  <si>
    <r>
      <t xml:space="preserve">입학원서' 시트의 음영 부분을 확인 후, 인쇄/사진부착 제출함.
</t>
    </r>
    <r>
      <rPr>
        <b/>
        <sz val="11"/>
        <color rgb="FFFF0000"/>
        <rFont val="맑은고딕"/>
        <family val="3"/>
      </rPr>
      <t>(사진파일을 입학원서에 삽입한 경우, 컬러로 인쇄함.)</t>
    </r>
    <r>
      <rPr>
        <sz val="11"/>
        <color theme="1"/>
        <rFont val="맑은고딕"/>
        <family val="3"/>
      </rPr>
      <t xml:space="preserve">
교과학습발달상황, 출결점수, 봉사점수가 반영되었는지 확인함.</t>
    </r>
  </si>
  <si>
    <t>주소지</t>
  </si>
  <si>
    <t>특례입학 82조3항 1호</t>
  </si>
  <si>
    <t>중학교 주소</t>
  </si>
  <si>
    <t>☜ 도장 및 직인은 인쇄 후 날인합니다.</t>
  </si>
  <si>
    <t>☜ '지망 안함'을 선택할 경우 본인도장 또는 보호자도장을 날인합니다.</t>
  </si>
  <si>
    <t>특별전형1
구분 선택</t>
  </si>
  <si>
    <t>학교명</t>
  </si>
  <si>
    <t>울산여부</t>
  </si>
  <si>
    <t>학교</t>
  </si>
  <si>
    <t>메아리</t>
  </si>
  <si>
    <t>울산행복</t>
  </si>
  <si>
    <t>울산혜인</t>
  </si>
  <si>
    <t>태연</t>
  </si>
  <si>
    <t>강동중</t>
  </si>
  <si>
    <t>구영중</t>
  </si>
  <si>
    <t>남목중</t>
  </si>
  <si>
    <t>남외중</t>
  </si>
  <si>
    <t>남창중</t>
  </si>
  <si>
    <t>농소중</t>
  </si>
  <si>
    <t>다운중</t>
  </si>
  <si>
    <t>달천중</t>
  </si>
  <si>
    <t>대송중</t>
  </si>
  <si>
    <t>대현중</t>
  </si>
  <si>
    <t>동평중</t>
  </si>
  <si>
    <t>두광중</t>
  </si>
  <si>
    <t>매곡중</t>
  </si>
  <si>
    <t>명덕여자중</t>
  </si>
  <si>
    <t>무거중</t>
  </si>
  <si>
    <t>무룡중</t>
  </si>
  <si>
    <t>문수중</t>
  </si>
  <si>
    <t>방어진중</t>
  </si>
  <si>
    <t>범서중</t>
  </si>
  <si>
    <t>삼남중</t>
  </si>
  <si>
    <t>삼호중</t>
  </si>
  <si>
    <t>상북중</t>
  </si>
  <si>
    <t>상안중</t>
  </si>
  <si>
    <t>서생중</t>
  </si>
  <si>
    <t>성안중</t>
  </si>
  <si>
    <t>신언중</t>
  </si>
  <si>
    <t>신일중</t>
  </si>
  <si>
    <t>신정중</t>
  </si>
  <si>
    <t>야음중</t>
  </si>
  <si>
    <t>약사중</t>
  </si>
  <si>
    <t>언양중</t>
  </si>
  <si>
    <t>연암중</t>
  </si>
  <si>
    <t>옥동중</t>
  </si>
  <si>
    <t>옥현중</t>
  </si>
  <si>
    <t>온산중</t>
  </si>
  <si>
    <t>울산강남중</t>
  </si>
  <si>
    <t>울산서여자중</t>
  </si>
  <si>
    <t>울산스포츠과학중</t>
  </si>
  <si>
    <t>울산여자중</t>
  </si>
  <si>
    <t>울산제일중</t>
  </si>
  <si>
    <t>울산중앙중</t>
  </si>
  <si>
    <t>울산중</t>
  </si>
  <si>
    <t>웅촌중</t>
  </si>
  <si>
    <t>월평중</t>
  </si>
  <si>
    <t>유곡중</t>
  </si>
  <si>
    <t>이화중</t>
  </si>
  <si>
    <t>일산중</t>
  </si>
  <si>
    <t>진장중</t>
  </si>
  <si>
    <t>천곡중</t>
  </si>
  <si>
    <t>천상중</t>
  </si>
  <si>
    <t>청량중</t>
  </si>
  <si>
    <t>태화중</t>
  </si>
  <si>
    <t>학성여자중</t>
  </si>
  <si>
    <t>학성중</t>
  </si>
  <si>
    <t>현대중</t>
  </si>
  <si>
    <t>현대청운중</t>
  </si>
  <si>
    <t>호계중</t>
  </si>
  <si>
    <t>화봉중</t>
  </si>
  <si>
    <t>화암중</t>
  </si>
  <si>
    <t>화진중</t>
  </si>
  <si>
    <t>효정중</t>
  </si>
  <si>
    <t>외솔중</t>
  </si>
  <si>
    <t>장검중</t>
  </si>
  <si>
    <t>울산광역시 중학교 현황표</t>
  </si>
  <si>
    <t>졸업예정자</t>
  </si>
  <si>
    <t>일반전형 코드</t>
  </si>
  <si>
    <t>학생선택 코드</t>
  </si>
  <si>
    <t>가중치_</t>
  </si>
  <si>
    <t>점수</t>
  </si>
  <si>
    <t>성취도평균</t>
  </si>
  <si>
    <t>가중치_성취도평균_</t>
  </si>
  <si>
    <t>지망 안함 (인)</t>
  </si>
  <si>
    <t>3학년은 9/30일까지 최소수업일수</t>
  </si>
  <si>
    <t>학력&amp;전형구분 코드</t>
  </si>
  <si>
    <t>☜ 연두색으로 표시된 란을 입력하세오.</t>
  </si>
  <si>
    <t>☜ '신입생 입학점수 산출표'는 인쇄하여 제출합니다.</t>
  </si>
  <si>
    <t>코드</t>
  </si>
  <si>
    <t>학력선택</t>
  </si>
  <si>
    <t>전형구분선택</t>
  </si>
  <si>
    <t>졸업예정</t>
  </si>
  <si>
    <t>졸업</t>
  </si>
  <si>
    <t>검정고시합격</t>
  </si>
  <si>
    <t>일반전형</t>
  </si>
  <si>
    <t>국가유공자전형</t>
  </si>
  <si>
    <t>특례입학전형</t>
  </si>
  <si>
    <t>점수</t>
  </si>
  <si>
    <t>봉사활동점수</t>
  </si>
  <si>
    <t>출결 점수(만점: 60점/90점/120점)</t>
  </si>
  <si>
    <t>무단결석</t>
  </si>
  <si>
    <t>무단지각</t>
  </si>
  <si>
    <t>무단조퇴</t>
  </si>
  <si>
    <t>무단결과</t>
  </si>
  <si>
    <t>출석점수</t>
  </si>
  <si>
    <t>만점</t>
  </si>
  <si>
    <t>수업일수
오류확인</t>
  </si>
  <si>
    <t>출결
점수</t>
  </si>
  <si>
    <t>학력</t>
  </si>
  <si>
    <t>전형구분</t>
  </si>
  <si>
    <t>※인쇄하여 제출함.</t>
  </si>
  <si>
    <t xml:space="preserve">  3) 학교생활기록부에 성취도가 표시된 과목은 모두 입력합니다.</t>
  </si>
  <si>
    <t xml:space="preserve">  4) 교과목을 이수하지 않은 경우, 성취도 란을 빈칸으로 두시기 바랍니다.</t>
  </si>
  <si>
    <r>
      <t xml:space="preserve">  5) </t>
    </r>
    <r>
      <rPr>
        <b/>
        <sz val="12"/>
        <color rgb="FFFF0000"/>
        <rFont val="Calibri"/>
        <family val="3"/>
        <scheme val="minor"/>
      </rPr>
      <t>성적입력 누락 방지</t>
    </r>
    <r>
      <rPr>
        <sz val="12"/>
        <color theme="1"/>
        <rFont val="Calibri"/>
        <family val="3"/>
        <scheme val="minor"/>
      </rPr>
      <t xml:space="preserve">를 위해서 학교생활기록부의 교과목을 확인하시고,
     30번째 행에서 </t>
    </r>
    <r>
      <rPr>
        <b/>
        <u val="single"/>
        <sz val="12"/>
        <color indexed="10"/>
        <rFont val="맑은 고딕"/>
        <family val="3"/>
      </rPr>
      <t>'◆ 좌측행의 과목수와 학교생활기록부의 과목수를 확인하였습니까? ▶'
     라는 질문에 'Yes'라고 입력해야 점수가 환산</t>
    </r>
    <r>
      <rPr>
        <sz val="12"/>
        <color indexed="8"/>
        <rFont val="맑은 고딕"/>
        <family val="3"/>
      </rPr>
      <t>됩니다.</t>
    </r>
  </si>
  <si>
    <t xml:space="preserve">  1) 출결 사항은 무단(사고)으로 인한 결석, 지각, 조퇴, 결과만 입력합니다.</t>
  </si>
  <si>
    <t xml:space="preserve">  2) 1, 2, 3학년 출석일수는 모든 학생이 입력해야 합니다.</t>
  </si>
  <si>
    <t>입학원서
접수시
제출 목록
(공통)</t>
  </si>
  <si>
    <t>입학원서
접수시
제출 목록
(해당자만 제출)</t>
  </si>
  <si>
    <r>
      <t xml:space="preserve">30번째 행에서 </t>
    </r>
    <r>
      <rPr>
        <b/>
        <sz val="11"/>
        <color rgb="FFFF0000"/>
        <rFont val="맑은고딕"/>
        <family val="3"/>
      </rPr>
      <t>'◆ 좌측행의 과목수와 학교생활기록부의 과목수를 확인하였습니까? ▶'라는 질문에 'Yes'라고 입력해야 점수가 환산됨.</t>
    </r>
    <r>
      <rPr>
        <sz val="11"/>
        <color theme="1"/>
        <rFont val="맑은고딕"/>
        <family val="3"/>
      </rPr>
      <t xml:space="preserve">
'입학원서' 시트의 해당란에는 자동으로 반영됩니다.</t>
    </r>
  </si>
  <si>
    <t>2학년 1학기 성취도 입력 결과</t>
  </si>
  <si>
    <t>3학년 2학기 성취도 입력 결과</t>
  </si>
  <si>
    <t>3학년 1학기 성취도 입력 결과</t>
  </si>
  <si>
    <t>2학년 2학기 성취도 입력 결과</t>
  </si>
  <si>
    <t>(특별전형 지원자에 한하여 작성 및 인쇄합니다.)</t>
  </si>
  <si>
    <t>학교장   (직인)</t>
  </si>
  <si>
    <t>학교</t>
  </si>
  <si>
    <t>미술</t>
  </si>
  <si>
    <t>미술</t>
  </si>
  <si>
    <t>음악</t>
  </si>
  <si>
    <t>음악</t>
  </si>
  <si>
    <t>미술</t>
  </si>
  <si>
    <t>음악</t>
  </si>
  <si>
    <t>1차</t>
  </si>
  <si>
    <t>2차</t>
  </si>
  <si>
    <t>1차전형사정</t>
  </si>
  <si>
    <t>2차전형사정</t>
  </si>
  <si>
    <t>학과배정</t>
  </si>
  <si>
    <t>합격여부</t>
  </si>
  <si>
    <t>학과배정지망순위</t>
  </si>
  <si>
    <t>성명</t>
  </si>
  <si>
    <t>학력</t>
  </si>
  <si>
    <t>출신지역</t>
  </si>
  <si>
    <t>면접점수</t>
  </si>
  <si>
    <t>입학원서_전형총점</t>
  </si>
  <si>
    <t>동명이인</t>
  </si>
  <si>
    <t>면접</t>
  </si>
  <si>
    <t>신체검사</t>
  </si>
  <si>
    <t>3차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</si>
  <si>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</si>
  <si>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</si>
  <si>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</si>
  <si>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</si>
  <si>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</si>
  <si>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</si>
  <si>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</si>
  <si>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</si>
  <si>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</si>
  <si>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</si>
  <si>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</si>
  <si>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</si>
  <si>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</si>
  <si>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</si>
  <si>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</si>
  <si>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</si>
  <si>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</si>
  <si>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</si>
  <si>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</si>
  <si>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</si>
  <si>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</si>
  <si>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</si>
  <si>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</si>
  <si>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</si>
  <si>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</si>
  <si>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</si>
  <si>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</si>
  <si>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</si>
  <si>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</si>
  <si>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</si>
  <si>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</si>
  <si>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</si>
  <si>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</si>
  <si>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</si>
  <si>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</si>
  <si>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</si>
  <si>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</si>
  <si>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</si>
  <si>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</si>
  <si>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</si>
  <si>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</si>
  <si>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</si>
  <si>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</si>
  <si>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</si>
  <si>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</si>
  <si>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</si>
  <si>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</si>
  <si>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</si>
  <si>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</si>
  <si>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</si>
  <si>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</si>
  <si>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</si>
  <si>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</si>
  <si>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</si>
  <si>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</si>
  <si>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</si>
  <si>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</si>
  <si>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</si>
  <si>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</si>
  <si>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</si>
  <si>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</si>
  <si>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</si>
  <si>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</si>
  <si>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</si>
  <si>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</si>
  <si>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</si>
  <si>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</si>
  <si>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</si>
  <si>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</si>
  <si>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</si>
  <si>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</si>
  <si>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</si>
  <si>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</si>
  <si>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</si>
  <si>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</si>
  <si>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</si>
  <si>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</si>
  <si>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</si>
  <si>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</si>
  <si>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</si>
  <si>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</si>
  <si>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</si>
  <si>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</si>
  <si>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</si>
  <si>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r>
      <rPr>
        <b/>
        <sz val="11"/>
        <color rgb="FFFF0000"/>
        <rFont val="Calibri"/>
        <family val="3"/>
        <scheme val="minor"/>
      </rPr>
      <t xml:space="preserve">선택 </t>
    </r>
    <r>
      <rPr>
        <b/>
        <sz val="11"/>
        <color rgb="FFFF0000"/>
        <rFont val="휴먼명조"/>
        <family val="3"/>
      </rPr>
      <t xml:space="preserve">: </t>
    </r>
    <r>
      <rPr>
        <sz val="11"/>
        <color rgb="FF000000"/>
        <rFont val="Calibri"/>
        <family val="3"/>
        <scheme val="minor"/>
      </rPr>
      <t>차상위 자활급여 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장애인수당 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법정 한부모가족보호대상자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차상위 본인부담경감대상자 증명서</t>
    </r>
    <r>
      <rPr>
        <sz val="11"/>
        <color rgb="FF000000"/>
        <rFont val="휴먼명조"/>
        <family val="3"/>
      </rPr>
      <t xml:space="preserve">, </t>
    </r>
    <r>
      <rPr>
        <sz val="11"/>
        <color rgb="FF000000"/>
        <rFont val="Calibri"/>
        <family val="3"/>
        <scheme val="minor"/>
      </rPr>
      <t>건강보험료 납입증명서</t>
    </r>
    <r>
      <rPr>
        <sz val="11"/>
        <color rgb="FF000000"/>
        <rFont val="휴먼명조"/>
        <family val="3"/>
      </rPr>
      <t>(</t>
    </r>
    <r>
      <rPr>
        <sz val="11"/>
        <color rgb="FFFF0000"/>
        <rFont val="Calibri"/>
        <family val="3"/>
        <scheme val="minor"/>
      </rPr>
      <t xml:space="preserve">최근 </t>
    </r>
    <r>
      <rPr>
        <sz val="11"/>
        <color rgb="FFFF0000"/>
        <rFont val="맑은 고딕"/>
        <family val="3"/>
      </rPr>
      <t>6</t>
    </r>
    <r>
      <rPr>
        <sz val="11"/>
        <color rgb="FFFF0000"/>
        <rFont val="Calibri"/>
        <family val="3"/>
        <scheme val="minor"/>
      </rPr>
      <t>개월 평균</t>
    </r>
    <r>
      <rPr>
        <sz val="11"/>
        <color rgb="FF000000"/>
        <rFont val="휴먼명조"/>
        <family val="3"/>
      </rPr>
      <t>)</t>
    </r>
    <r>
      <rPr>
        <sz val="11"/>
        <color rgb="FF000000"/>
        <rFont val="Calibri"/>
        <family val="3"/>
        <scheme val="minor"/>
      </rPr>
      <t>중 택</t>
    </r>
    <r>
      <rPr>
        <sz val="11"/>
        <color rgb="FF000000"/>
        <rFont val="휴먼명조"/>
        <family val="3"/>
      </rPr>
      <t>1</t>
    </r>
  </si>
  <si>
    <t>Version</t>
  </si>
  <si>
    <t>기술·가정</t>
  </si>
  <si>
    <t>학기별 성취도점수 합계</t>
  </si>
  <si>
    <t>A</t>
  </si>
  <si>
    <t>합계</t>
  </si>
  <si>
    <t>평균성취율</t>
  </si>
  <si>
    <t>평균성취도점수</t>
  </si>
  <si>
    <t>성취도점수합계</t>
  </si>
  <si>
    <t>전형 유형별 교과점수</t>
  </si>
  <si>
    <t>입력된
과목수</t>
  </si>
  <si>
    <t>전형 유형별 기준점수표</t>
  </si>
  <si>
    <t>환산결석일</t>
  </si>
  <si>
    <t>학기별
성취도점수 소계</t>
  </si>
  <si>
    <t>전과목 평균성취도점수</t>
  </si>
  <si>
    <t>전과목
평균성취율</t>
  </si>
  <si>
    <t>계</t>
  </si>
  <si>
    <t>성취도종류</t>
  </si>
  <si>
    <t>교과목 성취도갯수 합계</t>
  </si>
  <si>
    <t>아래의 내용들은 학기별/전체/가중치과목의 성취도갯수를 파악하기 위한 것들입니다.</t>
  </si>
  <si>
    <t>과목별
가중치</t>
  </si>
  <si>
    <t>교과학습발달상황 점수</t>
  </si>
  <si>
    <t>전과목 교과점수</t>
  </si>
  <si>
    <t>가중치 과목 점수 (각10점)</t>
  </si>
  <si>
    <t>수학</t>
  </si>
  <si>
    <t>영어</t>
  </si>
  <si>
    <t>교과목 수</t>
  </si>
  <si>
    <t>일반전형 점수</t>
  </si>
  <si>
    <t>특별전형 점수</t>
  </si>
  <si>
    <r>
      <t>학년도 울산마이스터고 신입생 지원자, 보호자, 학교 정보 입력</t>
    </r>
    <r>
      <rPr>
        <b/>
        <sz val="14"/>
        <color rgb="FFFF0000"/>
        <rFont val="돋움"/>
        <family val="3"/>
      </rPr>
      <t xml:space="preserve"> (인쇄 및 제출하지 않음)</t>
    </r>
  </si>
  <si>
    <t>신입생 입학점수 산출표</t>
  </si>
  <si>
    <t>생년월일</t>
  </si>
  <si>
    <t>☜ 보호자 생년월일은 입력후 인쇄하거나, 인쇄후 수기로 기록합니다.</t>
  </si>
  <si>
    <t>출신중</t>
  </si>
  <si>
    <t>학교장</t>
  </si>
  <si>
    <t>직인</t>
  </si>
  <si>
    <t>출신중</t>
  </si>
  <si>
    <t>출결(60)</t>
  </si>
  <si>
    <t>전형
결과
연번</t>
  </si>
  <si>
    <t>학과배정
연번</t>
  </si>
  <si>
    <t>수험번호</t>
  </si>
  <si>
    <t>1차_중간결과</t>
  </si>
  <si>
    <t>일반전형(400)</t>
  </si>
  <si>
    <t>2차전형_중간결과</t>
  </si>
  <si>
    <t>2차전형
합격여부</t>
  </si>
  <si>
    <t>합계</t>
  </si>
  <si>
    <t>교과점수</t>
  </si>
  <si>
    <t>기가(10)</t>
  </si>
  <si>
    <t>합계(30)</t>
  </si>
  <si>
    <t>응시교육청</t>
  </si>
  <si>
    <t>성취도갯수_21_</t>
  </si>
  <si>
    <t>성취도갯수_22_</t>
  </si>
  <si>
    <t>성취도갯수_31_</t>
  </si>
  <si>
    <t>성취도갯수_32_</t>
  </si>
  <si>
    <t>C28</t>
  </si>
  <si>
    <t>E28</t>
  </si>
  <si>
    <t>G28</t>
  </si>
  <si>
    <t>I28</t>
  </si>
  <si>
    <t>성취도점수 합계(학기별/전체)</t>
  </si>
  <si>
    <t>교과목수 합계(학기별/전체)</t>
  </si>
  <si>
    <t>평균성취도점수/평균성취율</t>
  </si>
  <si>
    <t>평균_성취도점수(5)</t>
  </si>
  <si>
    <t>전과목_평균성취율(1)</t>
  </si>
  <si>
    <t>입학원서 버전</t>
  </si>
  <si>
    <t>82조3항 제4호</t>
  </si>
  <si>
    <t xml:space="preserve">  나. 정부의 초청 또는 추천에 의하여 귀국한 과학기술자 및 교수요원의 자녀.</t>
  </si>
  <si>
    <r>
      <rPr>
        <b/>
        <sz val="11"/>
        <color theme="1"/>
        <rFont val="돋움"/>
        <family val="3"/>
      </rPr>
      <t>특례입학전형
유형선택</t>
    </r>
    <r>
      <rPr>
        <sz val="11"/>
        <color theme="1"/>
        <rFont val="돋움"/>
        <family val="3"/>
      </rPr>
      <t xml:space="preserve">
[교육법시행령
82조
(입학전형방법)
3항 1~4호]
(관련 증빙서류
 제출)</t>
    </r>
  </si>
  <si>
    <t>82조3항 제2호의 가</t>
  </si>
  <si>
    <t>82조3항 제2호의 나</t>
  </si>
  <si>
    <t>82조3항 제2호의 다</t>
  </si>
  <si>
    <t>제1호 : 외국 또는 군사분계선이북지역에서 9년 이상의 학교교육을 이수하거나, 초등학교
          및 중학교에 해당하는 학교교육과정을 이수한 자</t>
  </si>
  <si>
    <t xml:space="preserve">  다. 외국인 학생(부모 또는 부모중 1인이 대한민국 국민인 경우에는 외국에서 2년이상의
      중학교 교육과정을 이수한 학생을 말한다)</t>
  </si>
  <si>
    <t>제3호 :「북한이탈주민의 보호 및 정착지원에 관한 법률」 제2조제2호에 의한 보호대상자
         로서 군사분계선이북지역의 학교에서 2년이상 재학하고 군사분계선 이남지역의
         중학교에 편입학하여 졸업한 자</t>
  </si>
  <si>
    <t>제4호 : 제97조제1항제3호 또는 제98조의3에 따라 중학교 졸업자와 동등한 학력이 있다고
          인정을 받은 자</t>
  </si>
  <si>
    <t xml:space="preserve">  가. 부모와 함께 외국의 학교에서 2년이상 재학하고 귀국한 학생.</t>
  </si>
  <si>
    <t>제2호 : 외국의 학교에서 국내의 중학교에 전학 또는 편입학하여 졸업한 자.</t>
  </si>
  <si>
    <t>◈ 38번째 행까지 입력을 합니다. (아래쪽으로 스크롤을 합니다.)</t>
  </si>
  <si>
    <t>☜ 빗금처리된 부분에 선택버튼이 선택되어 표시된 것은 무시합니다.</t>
  </si>
  <si>
    <t>☜ 아래에 연두색으로 표시된 부분을 입력하세오.</t>
  </si>
  <si>
    <t>☜ 연두색으로 표시된 부분을 입력하세오.</t>
  </si>
  <si>
    <t>읍·면·동·로</t>
  </si>
  <si>
    <r>
      <t>3. 출결사항</t>
    </r>
    <r>
      <rPr>
        <b/>
        <sz val="12"/>
        <color theme="1"/>
        <rFont val="Calibri"/>
        <family val="3"/>
        <scheme val="minor"/>
      </rPr>
      <t xml:space="preserve"> ('입학점수산출표' 시트에서 입력함)</t>
    </r>
  </si>
  <si>
    <r>
      <t>4. 봉사활동</t>
    </r>
    <r>
      <rPr>
        <b/>
        <sz val="12"/>
        <color theme="1"/>
        <rFont val="Calibri"/>
        <family val="3"/>
        <scheme val="minor"/>
      </rPr>
      <t xml:space="preserve"> ('입학점수산출표' 시트에서 입력함)</t>
    </r>
  </si>
  <si>
    <r>
      <t xml:space="preserve">특별전형1 지원자는 '부정입학방지_학부모확인서' 시트를 확인한 후,  인쇄하여 제출합니다. </t>
    </r>
    <r>
      <rPr>
        <b/>
        <sz val="11"/>
        <color rgb="FFFF0000"/>
        <rFont val="맑은고딕"/>
        <family val="3"/>
      </rPr>
      <t>(특별전형 지원자에 한함)</t>
    </r>
  </si>
  <si>
    <r>
      <rPr>
        <b/>
        <sz val="11"/>
        <color rgb="FFFF0000"/>
        <rFont val="돋움"/>
        <family val="3"/>
      </rPr>
      <t>♦</t>
    </r>
    <r>
      <rPr>
        <b/>
        <sz val="11"/>
        <color rgb="FFFF0000"/>
        <rFont val="맑은고딕"/>
        <family val="3"/>
      </rPr>
      <t xml:space="preserve"> 제출일시 : 2019.10.24(목) 17:00 까지 도착분에 한함.</t>
    </r>
  </si>
  <si>
    <r>
      <rPr>
        <b/>
        <sz val="11"/>
        <color indexed="12"/>
        <rFont val="맑은고딕"/>
        <family val="3"/>
      </rPr>
      <t>파일명 '</t>
    </r>
    <r>
      <rPr>
        <b/>
        <sz val="11"/>
        <color rgb="FFFF0000"/>
        <rFont val="맑은고딕"/>
        <family val="3"/>
      </rPr>
      <t>입학원서_학교명_학생이름'</t>
    </r>
    <r>
      <rPr>
        <sz val="11"/>
        <color indexed="8"/>
        <rFont val="맑은고딕"/>
        <family val="3"/>
      </rPr>
      <t>로 저장.(입학원서_OO중_OOO.xlsx)</t>
    </r>
  </si>
  <si>
    <r>
      <t xml:space="preserve">'수험표' 시트를 확인한 후, 인쇄하여 사진을 붙여 제출합니다.
</t>
    </r>
    <r>
      <rPr>
        <b/>
        <sz val="11"/>
        <color rgb="FFFF0000"/>
        <rFont val="맑은고딕"/>
        <family val="3"/>
      </rPr>
      <t>(사진파일을 삽입한 경우, 컬러인쇄를 합니다.)</t>
    </r>
  </si>
  <si>
    <t>특별전형</t>
  </si>
  <si>
    <r>
      <t xml:space="preserve">2) </t>
    </r>
    <r>
      <rPr>
        <sz val="12"/>
        <color rgb="FFFF0066"/>
        <rFont val="Calibri"/>
        <family val="3"/>
        <scheme val="minor"/>
      </rPr>
      <t xml:space="preserve"> </t>
    </r>
    <r>
      <rPr>
        <b/>
        <sz val="12"/>
        <color rgb="FFFF0000"/>
        <rFont val="Calibri"/>
        <family val="3"/>
        <scheme val="minor"/>
      </rPr>
      <t>'기본정보입력'</t>
    </r>
    <r>
      <rPr>
        <sz val="12"/>
        <rFont val="Calibri"/>
        <family val="3"/>
        <scheme val="minor"/>
      </rPr>
      <t xml:space="preserve"> 시트를 먼저</t>
    </r>
    <r>
      <rPr>
        <b/>
        <sz val="12"/>
        <rFont val="맑은 고딕"/>
        <family val="3"/>
      </rPr>
      <t xml:space="preserve"> 입력하고 </t>
    </r>
    <r>
      <rPr>
        <b/>
        <sz val="12"/>
        <color rgb="FFFF0066"/>
        <rFont val="맑은 고딕"/>
        <family val="3"/>
      </rPr>
      <t>'입학점수산출표'</t>
    </r>
    <r>
      <rPr>
        <b/>
        <sz val="12"/>
        <rFont val="맑은 고딕"/>
        <family val="3"/>
      </rPr>
      <t xml:space="preserve"> 시트를 작성</t>
    </r>
    <r>
      <rPr>
        <sz val="12"/>
        <rFont val="맑은 고딕"/>
        <family val="3"/>
      </rPr>
      <t>합니다.
   입학원서, 수험표, 개인정보활용동의서, 특별전형_학부모확인서에는 자동반영됨.
   인쇄 후에 사진 부착 및 날인을 한 후, 제출합니다.
   사진파일을 삽입하여 인쇄할 경우에는 컬러로 인쇄합니다.</t>
    </r>
  </si>
  <si>
    <t>봉사활동 점수표(만점:40점 / 최저: 20점)</t>
  </si>
  <si>
    <t>봉사활동 시간수 입력 (최고점: 40점)</t>
  </si>
  <si>
    <t>점수(40)</t>
  </si>
  <si>
    <t>교과학습
발달상황(200)</t>
  </si>
  <si>
    <t>봉사
(40)</t>
  </si>
  <si>
    <t>1차 입학전형 총점
(최고점 300점)</t>
  </si>
  <si>
    <t>특별전형, 국가유공자전형, 특례입학전형 점수</t>
  </si>
  <si>
    <t>특별전형 코드</t>
  </si>
  <si>
    <t>졸업예정_특별전형</t>
  </si>
  <si>
    <t>졸업_특별전형</t>
  </si>
  <si>
    <t>검정고시_특별전형</t>
  </si>
  <si>
    <t>특별전형</t>
  </si>
  <si>
    <t>특별전형</t>
  </si>
  <si>
    <t>특별전형</t>
  </si>
  <si>
    <t>졸업_특별전형</t>
  </si>
  <si>
    <t>수학
(20)</t>
  </si>
  <si>
    <t>영어
(20)</t>
  </si>
  <si>
    <t>합계
(50점)</t>
  </si>
  <si>
    <t>계(50)</t>
  </si>
  <si>
    <r>
      <t>기</t>
    </r>
    <r>
      <rPr>
        <sz val="6"/>
        <color theme="1"/>
        <rFont val="맑은고딕"/>
        <family val="3"/>
      </rPr>
      <t>·</t>
    </r>
    <r>
      <rPr>
        <sz val="11"/>
        <color theme="1"/>
        <rFont val="맑은고딕"/>
        <family val="3"/>
      </rPr>
      <t>가</t>
    </r>
  </si>
  <si>
    <t>계(150/70)</t>
  </si>
  <si>
    <t>총계
200/120</t>
  </si>
  <si>
    <t>일반전형 점수
(300점)</t>
  </si>
  <si>
    <t>특별전형, 정원외전형 점수 (280점)</t>
  </si>
  <si>
    <t>교과학습발달상황
점수(200/120점)</t>
  </si>
  <si>
    <t>출결 점수
(60/120점)</t>
  </si>
  <si>
    <t>봉사활동 점수
(40/40점)</t>
  </si>
  <si>
    <t>1차전형총점
(300/280점)</t>
  </si>
  <si>
    <t>특별전형(400)</t>
  </si>
  <si>
    <t>특별/280</t>
  </si>
  <si>
    <t>특별/280</t>
  </si>
  <si>
    <t>일반/300</t>
  </si>
  <si>
    <t>일반(100)/특별(120)</t>
  </si>
  <si>
    <t>수학(20)</t>
  </si>
  <si>
    <t>영어(20)</t>
  </si>
  <si>
    <t>일반_합계(150)</t>
  </si>
  <si>
    <t>특별_합계(70)</t>
  </si>
  <si>
    <t>교과학습발달상황(200)</t>
  </si>
  <si>
    <t>봉사(40)</t>
  </si>
  <si>
    <t>교과학습발달상황(120)</t>
  </si>
  <si>
    <t>출결(120)</t>
  </si>
  <si>
    <t>봉사(40)</t>
  </si>
  <si>
    <t>수학
(20)</t>
  </si>
  <si>
    <t>영어
(20)</t>
  </si>
  <si>
    <t>기.가</t>
  </si>
  <si>
    <t>3과목
가중치
점수</t>
  </si>
  <si>
    <t>교과학습
발달상황
(200 or 120)</t>
  </si>
  <si>
    <r>
      <t xml:space="preserve">
1) ※ 표가 있는 난은 기재하지 않습니다.
2) 지원자의 학력, 전형구분, 특별전형구분, 특례입학유형란은 해당부분을 선택한다.
3) 성적이 있는 학기는 체크하고, 없는 학기는 체크 해제한다.
4) 출결 사항은 중학교 1학년~3학년 말까지 입력.
   (졸업예정자는 3학년 09월 30일까지) 입력한다.
5) 봉사활동은 중학교 1학년~3학년 말까지 입력.
   (졸업예정자는 3학년 09월 30일까지) 입력한다.
6) 지망학과는 모든 지원자가 제1지망부터 제3지망까지 체크한다.  (단, 1지망 또는 2지망까지만 지원도 가능함)
 </t>
    </r>
    <r>
      <rPr>
        <b/>
        <u val="single"/>
        <sz val="10"/>
        <color indexed="8"/>
        <rFont val="맑은 고딕"/>
        <family val="3"/>
      </rPr>
      <t>※ 지망하지 않은 학과는 배정하지 않고 불합격 처리함.</t>
    </r>
    <r>
      <rPr>
        <sz val="10"/>
        <color indexed="8"/>
        <rFont val="맑은 고딕"/>
        <family val="3"/>
      </rPr>
      <t xml:space="preserve">
7) 사진은 최근 3개월 이내에 촬영한 탈모 상반신의 칼라사진을 붙인다.
9) 연락처는 항시 연락 가능한 전화번호를 기재한다.</t>
    </r>
  </si>
  <si>
    <t>2019. 10. 21(월) 09:30 ∼</t>
  </si>
  <si>
    <t>2019. 10. 24(목) 17:00까지</t>
  </si>
  <si>
    <t>2019.10.30(수) 14:00 본교 홈페이지</t>
  </si>
  <si>
    <t>2019.11.04(월) 08:30 본교</t>
  </si>
  <si>
    <t>2019.11.13(수) 10:00</t>
  </si>
  <si>
    <t>2019.11.15(금) 14:00</t>
  </si>
  <si>
    <t>2020년 2월말 예정</t>
  </si>
  <si>
    <t>전과목 평균성취율 (1.00)</t>
  </si>
  <si>
    <t>전과목 성취도점수 평균 (5.00)</t>
  </si>
  <si>
    <t>전과목 교과점수
(150/70) ①</t>
  </si>
  <si>
    <t>교과학습 발달상황
합계 (200/120) ①+②</t>
  </si>
  <si>
    <t>과목별가중치
합계 (50) ②</t>
  </si>
  <si>
    <t>교과목 갯수</t>
  </si>
  <si>
    <t>교과목 입력확인표 (참고용)</t>
  </si>
  <si>
    <t>vlookup 열순서 :</t>
  </si>
  <si>
    <t>출결 만점</t>
  </si>
  <si>
    <t>성취도점수 합계</t>
  </si>
  <si>
    <t>성취도점수 평균(5)</t>
  </si>
  <si>
    <t>미인정
결석</t>
  </si>
  <si>
    <t>미인정
지각</t>
  </si>
  <si>
    <t>미인정
조퇴</t>
  </si>
  <si>
    <t>미인정
결과</t>
  </si>
  <si>
    <r>
      <rPr>
        <b/>
        <sz val="12"/>
        <color rgb="FF3333FF"/>
        <rFont val="Calibri"/>
        <family val="3"/>
        <scheme val="minor"/>
      </rPr>
      <t>입학원서 접수시 제출 목록</t>
    </r>
    <r>
      <rPr>
        <b/>
        <sz val="3"/>
        <color rgb="FF3333FF"/>
        <rFont val="Calibri"/>
        <family val="3"/>
        <scheme val="minor"/>
      </rPr>
      <t xml:space="preserve">
 </t>
    </r>
    <r>
      <rPr>
        <sz val="10"/>
        <color theme="1"/>
        <rFont val="Calibri"/>
        <family val="3"/>
        <scheme val="minor"/>
      </rPr>
      <t>① 학교생활기록부Ⅱ 1부 (원본대조필)
② 신입생 입학점수 산출표 1부
③ 입학원서 1부
④ 수험표(접수증) 1부
⑤ 개인정보활용동의서 1부
⑥ 입학원서 작성용 엑셀 파일
⑦ 부정입학방지를 위한 학부모 확인서 (특별전형 지원자)
⑧ 특별전형 대상 자격 증빙서류(특별전형 지원자)
⑨ 특례입학대상자 및 국가유공자녀 증빙서류(해당자)
⑩ 학생 사진 스캔파일(해상도:300dpi, 파일명 : 00중_이름)</t>
    </r>
  </si>
  <si>
    <t>예체능</t>
  </si>
  <si>
    <t>성취도</t>
  </si>
  <si>
    <t>일반교과</t>
  </si>
  <si>
    <t>출결현황 (미인정 횟수)</t>
  </si>
  <si>
    <t>가중치 과목별 평균</t>
  </si>
  <si>
    <t>확인:울산지역이름&amp;울산지역 학교명</t>
  </si>
  <si>
    <t>울산광역시 &amp;
울산지역 중학교명</t>
  </si>
  <si>
    <t>과목별 가중치 배점</t>
  </si>
  <si>
    <r>
      <t xml:space="preserve">울산마이스터고 입학원서 접수시 제출목록 안내 </t>
    </r>
    <r>
      <rPr>
        <b/>
        <sz val="10"/>
        <color rgb="FFFF0000"/>
        <rFont val="맑은고딕"/>
        <family val="3"/>
      </rPr>
      <t>(타시도 및 검정고시합격자 대상)</t>
    </r>
  </si>
  <si>
    <t>5.입학원서 작성용
  엑셀파일</t>
  </si>
  <si>
    <t>6.부정입학방지
  학부모확인서</t>
  </si>
  <si>
    <t>7.특별전형 대상자격 증빙서류</t>
  </si>
  <si>
    <t>8. 국가유공자 및
   특례입학 전형</t>
  </si>
  <si>
    <t>9.검정고시 합격자</t>
  </si>
  <si>
    <t>10.우편접수 안내</t>
  </si>
  <si>
    <r>
      <rPr>
        <sz val="11"/>
        <color theme="1"/>
        <rFont val="돋움"/>
        <family val="3"/>
      </rPr>
      <t>♦</t>
    </r>
    <r>
      <rPr>
        <sz val="11"/>
        <color theme="1"/>
        <rFont val="맑은고딕"/>
        <family val="3"/>
      </rPr>
      <t xml:space="preserve"> [각종 증빙서류를 봉투에 넣어 등기우편으로 발송합니다.
  </t>
    </r>
    <r>
      <rPr>
        <b/>
        <sz val="11"/>
        <color rgb="FFC00000"/>
        <rFont val="맑은고딕"/>
        <family val="3"/>
      </rPr>
      <t>우)44246 울산광역시 북구 율동6길 7 (효문동 34-1번지)</t>
    </r>
  </si>
  <si>
    <t>주민등록등본, 합격증명서 사본(원본제시) 및 성적증명서</t>
  </si>
  <si>
    <t>Yes</t>
  </si>
  <si>
    <t>성별</t>
  </si>
  <si>
    <t>생년월일</t>
  </si>
  <si>
    <t>2학년 1학기</t>
  </si>
  <si>
    <t>2학년 2학기</t>
  </si>
  <si>
    <t>3학년 1학기</t>
  </si>
  <si>
    <t>출결(미인정)</t>
  </si>
  <si>
    <t>봉사
활동(시수)</t>
  </si>
  <si>
    <t>리더십(Y/N)</t>
  </si>
  <si>
    <t>역사</t>
  </si>
  <si>
    <t>수학</t>
  </si>
  <si>
    <t>기술.가정</t>
  </si>
  <si>
    <t>영어</t>
  </si>
  <si>
    <t>중국어</t>
  </si>
  <si>
    <t>독일어</t>
  </si>
  <si>
    <t>일본어</t>
  </si>
  <si>
    <t>한문</t>
  </si>
  <si>
    <t>컴퓨터</t>
  </si>
  <si>
    <t>체육</t>
  </si>
  <si>
    <t>선택1</t>
  </si>
  <si>
    <t>선택2</t>
  </si>
  <si>
    <t>선택3</t>
  </si>
  <si>
    <t>선택4</t>
  </si>
  <si>
    <t>선택5</t>
  </si>
  <si>
    <t>선택6</t>
  </si>
  <si>
    <t>선택7</t>
  </si>
  <si>
    <t>선택8</t>
  </si>
  <si>
    <t>결석(일)</t>
  </si>
  <si>
    <t>지각(회)</t>
  </si>
  <si>
    <t>조퇴(회)</t>
  </si>
  <si>
    <t>결과(회)</t>
  </si>
  <si>
    <t>1-1</t>
  </si>
  <si>
    <t>1-2</t>
  </si>
  <si>
    <t>2-1</t>
  </si>
  <si>
    <t>2-2</t>
  </si>
  <si>
    <t>3-1</t>
  </si>
  <si>
    <t>3-2</t>
  </si>
  <si>
    <t>남</t>
  </si>
  <si>
    <t>C</t>
  </si>
  <si>
    <t>B</t>
  </si>
  <si>
    <t/>
  </si>
  <si>
    <t>A</t>
  </si>
  <si>
    <t>D</t>
  </si>
  <si>
    <t>E</t>
  </si>
  <si>
    <t>0</t>
  </si>
  <si>
    <t>박준태</t>
  </si>
  <si>
    <t>20040808</t>
  </si>
  <si>
    <t>107</t>
  </si>
  <si>
    <t>선택1</t>
  </si>
  <si>
    <t>선택2</t>
  </si>
  <si>
    <t>선택3</t>
  </si>
  <si>
    <t>선택4</t>
  </si>
  <si>
    <t>선택5</t>
  </si>
  <si>
    <t>선택6</t>
  </si>
  <si>
    <t>남</t>
  </si>
  <si>
    <t>해운중학교(예시)</t>
  </si>
  <si>
    <t>교과목 위치</t>
  </si>
  <si>
    <t>입학점수산출표!C7</t>
  </si>
  <si>
    <t>입학점수산출표!C8</t>
  </si>
  <si>
    <t>입학점수산출표!C9</t>
  </si>
  <si>
    <t>입학점수산출표!C10</t>
  </si>
  <si>
    <t>입학점수산출표!C11</t>
  </si>
  <si>
    <t>입학점수산출표!C12</t>
  </si>
  <si>
    <t>입학점수산출표!C13</t>
  </si>
  <si>
    <t>입학점수산출표!C14</t>
  </si>
  <si>
    <t>입학점수산출표!C15</t>
  </si>
  <si>
    <t>입학점수산출표!C16</t>
  </si>
  <si>
    <t>입학점수산출표!C17</t>
  </si>
  <si>
    <t>입학점수산출표!C18</t>
  </si>
  <si>
    <t>입학점수산출표!C19</t>
  </si>
  <si>
    <t>입학점수산출표!C20</t>
  </si>
  <si>
    <t>입학점수산출표!C21</t>
  </si>
  <si>
    <t>입학점수산출표!C22</t>
  </si>
  <si>
    <t>입학점수산출표!C23</t>
  </si>
  <si>
    <t>입학점수산출표!C24</t>
  </si>
  <si>
    <t>입학점수산출표!C25</t>
  </si>
  <si>
    <t>입학점수산출표!C26</t>
  </si>
  <si>
    <t>입학점수산출표!C27</t>
  </si>
  <si>
    <t>입학점수산출표!C28</t>
  </si>
  <si>
    <t>입학점수산출표!E7</t>
  </si>
  <si>
    <t>입학점수산출표!E8</t>
  </si>
  <si>
    <t>입학점수산출표!E9</t>
  </si>
  <si>
    <t>입학점수산출표!E10</t>
  </si>
  <si>
    <t>입학점수산출표!E11</t>
  </si>
  <si>
    <t>입학점수산출표!E12</t>
  </si>
  <si>
    <t>입학점수산출표!E13</t>
  </si>
  <si>
    <t>입학점수산출표!E14</t>
  </si>
  <si>
    <t>입학점수산출표!E15</t>
  </si>
  <si>
    <t>입학점수산출표!E16</t>
  </si>
  <si>
    <t>입학점수산출표!E17</t>
  </si>
  <si>
    <t>입학점수산출표!E18</t>
  </si>
  <si>
    <t>입학점수산출표!E19</t>
  </si>
  <si>
    <t>입학점수산출표!E20</t>
  </si>
  <si>
    <t>입학점수산출표!E21</t>
  </si>
  <si>
    <t>입학점수산출표!E22</t>
  </si>
  <si>
    <t>입학점수산출표!E23</t>
  </si>
  <si>
    <t>입학점수산출표!E24</t>
  </si>
  <si>
    <t>입학점수산출표!E25</t>
  </si>
  <si>
    <t>입학점수산출표!E26</t>
  </si>
  <si>
    <t>입학점수산출표!E27</t>
  </si>
  <si>
    <t>입학점수산출표!E28</t>
  </si>
  <si>
    <t>입학점수산출표!G7</t>
  </si>
  <si>
    <t>입학점수산출표!G8</t>
  </si>
  <si>
    <t>입학점수산출표!G9</t>
  </si>
  <si>
    <t>입학점수산출표!G10</t>
  </si>
  <si>
    <t>입학점수산출표!G11</t>
  </si>
  <si>
    <t>입학점수산출표!G12</t>
  </si>
  <si>
    <t>입학점수산출표!G13</t>
  </si>
  <si>
    <t>입학점수산출표!G14</t>
  </si>
  <si>
    <t>입학점수산출표!G15</t>
  </si>
  <si>
    <t>입학점수산출표!G16</t>
  </si>
  <si>
    <t>입학점수산출표!G17</t>
  </si>
  <si>
    <t>입학점수산출표!G18</t>
  </si>
  <si>
    <t>입학점수산출표!G19</t>
  </si>
  <si>
    <t>입학점수산출표!G20</t>
  </si>
  <si>
    <t>입학점수산출표!G21</t>
  </si>
  <si>
    <t>입학점수산출표!G22</t>
  </si>
  <si>
    <t>입학점수산출표!G23</t>
  </si>
  <si>
    <t>입학점수산출표!G24</t>
  </si>
  <si>
    <t>입학점수산출표!G25</t>
  </si>
  <si>
    <t>입학점수산출표!G26</t>
  </si>
  <si>
    <t>입학점수산출표!G27</t>
  </si>
  <si>
    <t>입학점수산출표!G28</t>
  </si>
  <si>
    <t>3학년2학기 : 수기 입력</t>
  </si>
  <si>
    <t>⑤ 입학원서 작성용 엑셀 파일 (USB메모리에 저장 제출)</t>
  </si>
  <si>
    <t>⑥ 학생 사진 스캔파일(해상도:300dpi, 파일명 : 00중_이름)</t>
  </si>
  <si>
    <t xml:space="preserve"> </t>
  </si>
  <si>
    <r>
      <t>⑦ 부정입학방지를 위한 학부모 확인서
   (</t>
    </r>
    <r>
      <rPr>
        <b/>
        <sz val="11"/>
        <color rgb="FFFF0000"/>
        <rFont val="맑은고딕"/>
        <family val="3"/>
      </rPr>
      <t>특별전형 지원자에 한함</t>
    </r>
    <r>
      <rPr>
        <sz val="11"/>
        <color theme="1"/>
        <rFont val="맑은고딕"/>
        <family val="3"/>
      </rPr>
      <t>, 엑셀양식 인쇄)</t>
    </r>
  </si>
  <si>
    <r>
      <t>⑧ 특별전형 대상자격 증빙서류(</t>
    </r>
    <r>
      <rPr>
        <b/>
        <sz val="11"/>
        <color rgb="FFFF0000"/>
        <rFont val="맑은고딕"/>
        <family val="3"/>
      </rPr>
      <t>특별전형 지원자에 한함</t>
    </r>
    <r>
      <rPr>
        <sz val="11"/>
        <color theme="1"/>
        <rFont val="맑은고딕"/>
        <family val="3"/>
      </rPr>
      <t>)</t>
    </r>
  </si>
  <si>
    <r>
      <t>⑨ 특례입학대상자 및 국가유공자녀 증빙서류(</t>
    </r>
    <r>
      <rPr>
        <b/>
        <sz val="11"/>
        <color rgb="FFFF0000"/>
        <rFont val="맑은고딕"/>
        <family val="3"/>
      </rPr>
      <t>해당자에 한함</t>
    </r>
    <r>
      <rPr>
        <sz val="11"/>
        <color theme="1"/>
        <rFont val="맑은고딕"/>
        <family val="3"/>
      </rPr>
      <t>)</t>
    </r>
  </si>
  <si>
    <r>
      <t>⑩ 검정고시 합격자 증빙서류(</t>
    </r>
    <r>
      <rPr>
        <b/>
        <sz val="11"/>
        <color rgb="FFFF0000"/>
        <rFont val="맑은고딕"/>
        <family val="3"/>
      </rPr>
      <t>해당자에 한함</t>
    </r>
    <r>
      <rPr>
        <sz val="11"/>
        <color theme="1"/>
        <rFont val="맑은고딕"/>
        <family val="3"/>
      </rPr>
      <t>)</t>
    </r>
  </si>
  <si>
    <t>Ver: 2019.09.16.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</si>
</sst>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00\-000"/>
    <numFmt numFmtId="177" formatCode="#,##0_ "/>
    <numFmt numFmtId="178" formatCode="#,##0.00_ "/>
    <numFmt numFmtId="179" formatCode="0.00_ "/>
    <numFmt numFmtId="180" formatCode="mm&quot;월&quot;\ dd&quot;일&quot;"/>
    <numFmt numFmtId="181" formatCode="0_ ;[Red]\-0\ "/>
    <numFmt numFmtId="182" formatCode="&quot; &quot;"/>
    <numFmt numFmtId="183" formatCode="&quot;특별전형 합계 : &quot;#,##0"/>
    <numFmt numFmtId="184" formatCode="###"/>
    <numFmt numFmtId="186" formatCode="#####"/>
    <numFmt numFmtId="187" formatCode="0_);[Red]\(0\)"/>
    <numFmt numFmtId="188" formatCode="0.00_);[Red]\(0.00\)"/>
    <numFmt numFmtId="189" formatCode="0.0_ "/>
    <numFmt numFmtId="190" formatCode="General&quot;시간&quot;"/>
    <numFmt numFmtId="191" formatCode="General\ &quot;일&quot;"/>
    <numFmt numFmtId="192" formatCode="0\-0"/>
    <numFmt numFmtId="193" formatCode="General&quot; 점&quot;"/>
    <numFmt numFmtId="194" formatCode="General&quot; 년&quot;"/>
    <numFmt numFmtId="195" formatCode="0.000000000_ "/>
    <numFmt numFmtId="196" formatCode="yyyy&quot;-&quot;mm&quot;-&quot;dd;@"/>
    <numFmt numFmtId="197" formatCode="yyyy&quot;년&quot;\ m&quot;월&quot;\ d&quot;일&quot;;@"/>
    <numFmt numFmtId="198" formatCode="@&quot; 점수&quot;"/>
    <numFmt numFmtId="199" formatCode="&quot;환산점 &quot;General&quot;점&quot;"/>
    <numFmt numFmtId="200" formatCode="0.000_ "/>
    <numFmt numFmtId="201" formatCode="0.000_);[Red]\(0.000\)"/>
    <numFmt numFmtId="202" formatCode="&quot;기본배점 &quot;General&quot; 점&quot;"/>
    <numFmt numFmtId="203" formatCode="General&quot; 일&quot;"/>
    <numFmt numFmtId="204" formatCode="General&quot;과목&quot;"/>
    <numFmt numFmtId="205" formatCode="General&quot;점&quot;"/>
    <numFmt numFmtId="206" formatCode="#,##0.000_ "/>
    <numFmt numFmtId="207" formatCode="0.000"/>
    <numFmt numFmtId="208" formatCode="0_ "/>
  </numFmts>
  <fonts count="133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2"/>
      <color indexed="8"/>
      <name val="맑은 고딕"/>
      <family val="3"/>
    </font>
    <font>
      <b/>
      <sz val="11"/>
      <name val="돋움"/>
      <family val="3"/>
    </font>
    <font>
      <sz val="12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b/>
      <u val="single"/>
      <sz val="10"/>
      <color indexed="8"/>
      <name val="맑은 고딕"/>
      <family val="3"/>
    </font>
    <font>
      <b/>
      <sz val="11"/>
      <color indexed="8"/>
      <name val="맑은 고딕"/>
      <family val="3"/>
    </font>
    <font>
      <b/>
      <sz val="16"/>
      <name val="돋움"/>
      <family val="3"/>
    </font>
    <font>
      <b/>
      <sz val="11"/>
      <name val="Tahoma"/>
      <family val="2"/>
    </font>
    <font>
      <b/>
      <sz val="12"/>
      <color indexed="10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b/>
      <sz val="12"/>
      <name val="Tahoma"/>
      <family val="2"/>
    </font>
    <font>
      <b/>
      <u val="single"/>
      <sz val="12"/>
      <color indexed="10"/>
      <name val="맑은 고딕"/>
      <family val="3"/>
    </font>
    <font>
      <b/>
      <sz val="14"/>
      <name val="돋움"/>
      <family val="3"/>
    </font>
    <font>
      <sz val="11"/>
      <name val="Tahoma"/>
      <family val="2"/>
    </font>
    <font>
      <b/>
      <sz val="11"/>
      <color theme="1"/>
      <name val="Calibri"/>
      <family val="3"/>
      <scheme val="minor"/>
    </font>
    <font>
      <sz val="10"/>
      <color rgb="FF000000"/>
      <name val="바탕"/>
      <family val="1"/>
    </font>
    <font>
      <sz val="12"/>
      <color theme="1"/>
      <name val="Calibri"/>
      <family val="3"/>
      <scheme val="minor"/>
    </font>
    <font>
      <b/>
      <sz val="12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1"/>
      <color rgb="FFFF0000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color rgb="FFFF0000"/>
      <name val="맑은 고딕"/>
      <family val="3"/>
    </font>
    <font>
      <sz val="12"/>
      <color rgb="FF000000"/>
      <name val="맑은 고딕"/>
      <family val="3"/>
    </font>
    <font>
      <b/>
      <sz val="11"/>
      <color rgb="FF0000FF"/>
      <name val="돋움"/>
      <family val="3"/>
    </font>
    <font>
      <sz val="10"/>
      <color theme="1"/>
      <name val="Calibri"/>
      <family val="3"/>
      <scheme val="minor"/>
    </font>
    <font>
      <b/>
      <sz val="11"/>
      <color rgb="FF000000"/>
      <name val="맑은 고딕"/>
      <family val="3"/>
    </font>
    <font>
      <sz val="10"/>
      <color rgb="FF000000"/>
      <name val="맑은 고딕"/>
      <family val="3"/>
    </font>
    <font>
      <b/>
      <sz val="10"/>
      <color rgb="FF000000"/>
      <name val="맑은 고딕"/>
      <family val="3"/>
    </font>
    <font>
      <b/>
      <sz val="18"/>
      <color rgb="FF000000"/>
      <name val="굴림"/>
      <family val="3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1"/>
      <color theme="1"/>
      <name val="굴림"/>
      <family val="3"/>
    </font>
    <font>
      <b/>
      <sz val="11"/>
      <color rgb="FF000000"/>
      <name val="굴림"/>
      <family val="3"/>
    </font>
    <font>
      <b/>
      <sz val="10"/>
      <color theme="1"/>
      <name val="Calibri"/>
      <family val="3"/>
      <scheme val="minor"/>
    </font>
    <font>
      <b/>
      <sz val="10"/>
      <color rgb="FF000000"/>
      <name val="굴림"/>
      <family val="3"/>
    </font>
    <font>
      <sz val="11"/>
      <color rgb="FFFF0000"/>
      <name val="돋움"/>
      <family val="3"/>
    </font>
    <font>
      <b/>
      <sz val="11"/>
      <color rgb="FF3333FF"/>
      <name val="돋움"/>
      <family val="3"/>
    </font>
    <font>
      <b/>
      <sz val="11"/>
      <color theme="1"/>
      <name val="돋움"/>
      <family val="3"/>
    </font>
    <font>
      <sz val="16"/>
      <color theme="1"/>
      <name val="돋움"/>
      <family val="3"/>
    </font>
    <font>
      <sz val="11"/>
      <color theme="1"/>
      <name val="돋움"/>
      <family val="3"/>
    </font>
    <font>
      <b/>
      <sz val="16"/>
      <color rgb="FFFF0000"/>
      <name val="돋움"/>
      <family val="3"/>
    </font>
    <font>
      <b/>
      <sz val="11"/>
      <color rgb="FFFF0000"/>
      <name val="돋움"/>
      <family val="3"/>
    </font>
    <font>
      <b/>
      <sz val="14"/>
      <color rgb="FFFF0000"/>
      <name val="돋움"/>
      <family val="3"/>
    </font>
    <font>
      <b/>
      <sz val="18"/>
      <color theme="1"/>
      <name val="Calibri"/>
      <family val="3"/>
      <scheme val="minor"/>
    </font>
    <font>
      <b/>
      <sz val="12"/>
      <color rgb="FFFF0000"/>
      <name val="돋움"/>
      <family val="3"/>
    </font>
    <font>
      <b/>
      <sz val="14"/>
      <color rgb="FF000000"/>
      <name val="맑은 고딕"/>
      <family val="3"/>
    </font>
    <font>
      <b/>
      <sz val="9"/>
      <color rgb="FF000000"/>
      <name val="맑은 고딕"/>
      <family val="3"/>
    </font>
    <font>
      <b/>
      <sz val="14"/>
      <color rgb="FF000000"/>
      <name val="Calibri"/>
      <family val="3"/>
      <scheme val="minor"/>
    </font>
    <font>
      <b/>
      <sz val="12"/>
      <color theme="1"/>
      <name val="굴림"/>
      <family val="3"/>
    </font>
    <font>
      <b/>
      <sz val="13"/>
      <color rgb="FF000000"/>
      <name val="Calibri"/>
      <family val="3"/>
      <scheme val="minor"/>
    </font>
    <font>
      <b/>
      <sz val="18"/>
      <color rgb="FF000000"/>
      <name val="Calibri"/>
      <family val="3"/>
      <scheme val="minor"/>
    </font>
    <font>
      <b/>
      <sz val="12"/>
      <color rgb="FF000000"/>
      <name val="굴림"/>
      <family val="3"/>
    </font>
    <font>
      <sz val="12"/>
      <color theme="1"/>
      <name val="돋움"/>
      <family val="3"/>
    </font>
    <font>
      <b/>
      <sz val="11"/>
      <color theme="1"/>
      <name val="맑은고딕"/>
      <family val="3"/>
    </font>
    <font>
      <sz val="11"/>
      <color theme="1"/>
      <name val="맑은고딕"/>
      <family val="3"/>
    </font>
    <font>
      <sz val="12"/>
      <color theme="1"/>
      <name val="맑은고딕"/>
      <family val="3"/>
    </font>
    <font>
      <b/>
      <sz val="16"/>
      <color rgb="FF000000"/>
      <name val="맑은고딕"/>
      <family val="3"/>
    </font>
    <font>
      <b/>
      <sz val="11"/>
      <color rgb="FF000000"/>
      <name val="맑은고딕"/>
      <family val="3"/>
    </font>
    <font>
      <b/>
      <sz val="11"/>
      <color rgb="FFFF0000"/>
      <name val="맑은고딕"/>
      <family val="3"/>
    </font>
    <font>
      <b/>
      <sz val="11"/>
      <name val="맑은고딕"/>
      <family val="3"/>
    </font>
    <font>
      <b/>
      <sz val="11"/>
      <color rgb="FF00B050"/>
      <name val="맑은고딕"/>
      <family val="3"/>
    </font>
    <font>
      <b/>
      <sz val="18"/>
      <color theme="1"/>
      <name val="맑은고딕"/>
      <family val="3"/>
    </font>
    <font>
      <sz val="14"/>
      <name val="맑은고딕"/>
      <family val="3"/>
    </font>
    <font>
      <b/>
      <sz val="18"/>
      <name val="맑은고딕"/>
      <family val="3"/>
    </font>
    <font>
      <sz val="11"/>
      <color rgb="FF000000"/>
      <name val="맑은고딕"/>
      <family val="3"/>
    </font>
    <font>
      <sz val="12"/>
      <name val="Calibri"/>
      <family val="3"/>
      <scheme val="minor"/>
    </font>
    <font>
      <sz val="12"/>
      <name val="맑은 고딕"/>
      <family val="3"/>
    </font>
    <font>
      <sz val="12"/>
      <color rgb="FFFF0066"/>
      <name val="Calibri"/>
      <family val="3"/>
      <scheme val="minor"/>
    </font>
    <font>
      <b/>
      <sz val="12"/>
      <name val="맑은 고딕"/>
      <family val="3"/>
    </font>
    <font>
      <b/>
      <sz val="12"/>
      <color rgb="FFFF0066"/>
      <name val="맑은 고딕"/>
      <family val="3"/>
    </font>
    <font>
      <b/>
      <sz val="18"/>
      <name val="돋움"/>
      <family val="3"/>
    </font>
    <font>
      <sz val="10"/>
      <name val="돋움"/>
      <family val="3"/>
    </font>
    <font>
      <b/>
      <sz val="10"/>
      <color indexed="8"/>
      <name val="돋움"/>
      <family val="3"/>
    </font>
    <font>
      <b/>
      <sz val="10"/>
      <color theme="3" tint="-0.24997000396251678"/>
      <name val="돋움"/>
      <family val="3"/>
    </font>
    <font>
      <sz val="10"/>
      <color indexed="8"/>
      <name val="돋움"/>
      <family val="3"/>
    </font>
    <font>
      <b/>
      <sz val="16"/>
      <color theme="1"/>
      <name val="돋움"/>
      <family val="3"/>
    </font>
    <font>
      <sz val="8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11"/>
      <color rgb="FFFF0000"/>
      <name val="Cambria"/>
      <family val="3"/>
      <scheme val="major"/>
    </font>
    <font>
      <u val="single"/>
      <sz val="11"/>
      <color theme="10"/>
      <name val="맑은 고딕"/>
      <family val="3"/>
    </font>
    <font>
      <b/>
      <sz val="11"/>
      <color rgb="FF0000FF"/>
      <name val="맑은고딕"/>
      <family val="3"/>
    </font>
    <font>
      <b/>
      <sz val="13"/>
      <color rgb="FFFF0000"/>
      <name val="Cambria"/>
      <family val="3"/>
      <scheme val="major"/>
    </font>
    <font>
      <b/>
      <sz val="12"/>
      <color theme="1"/>
      <name val="맑은고딕"/>
      <family val="3"/>
    </font>
    <font>
      <b/>
      <sz val="10"/>
      <color theme="1"/>
      <name val="맑은고딕"/>
      <family val="3"/>
    </font>
    <font>
      <b/>
      <sz val="12"/>
      <color rgb="FF3333FF"/>
      <name val="Calibri"/>
      <family val="3"/>
      <scheme val="minor"/>
    </font>
    <font>
      <b/>
      <sz val="3"/>
      <color rgb="FF3333FF"/>
      <name val="Calibri"/>
      <family val="3"/>
      <scheme val="minor"/>
    </font>
    <font>
      <sz val="14"/>
      <color theme="1"/>
      <name val="맑은고딕"/>
      <family val="3"/>
    </font>
    <font>
      <b/>
      <sz val="11"/>
      <color indexed="12"/>
      <name val="맑은고딕"/>
      <family val="3"/>
    </font>
    <font>
      <sz val="11"/>
      <color indexed="8"/>
      <name val="맑은고딕"/>
      <family val="3"/>
    </font>
    <font>
      <b/>
      <sz val="11"/>
      <color rgb="FFC00000"/>
      <name val="맑은고딕"/>
      <family val="3"/>
    </font>
    <font>
      <b/>
      <sz val="11"/>
      <color rgb="FF000000"/>
      <name val="Calibri"/>
      <family val="3"/>
      <scheme val="minor"/>
    </font>
    <font>
      <b/>
      <sz val="11"/>
      <color rgb="FF000000"/>
      <name val="휴먼명조"/>
      <family val="3"/>
    </font>
    <font>
      <sz val="11"/>
      <color rgb="FF000000"/>
      <name val="Calibri"/>
      <family val="3"/>
      <scheme val="minor"/>
    </font>
    <font>
      <sz val="11"/>
      <color rgb="FF000000"/>
      <name val="휴먼명조"/>
      <family val="3"/>
    </font>
    <font>
      <b/>
      <sz val="11"/>
      <color rgb="FF3333FF"/>
      <name val="맑은고딕"/>
      <family val="3"/>
    </font>
    <font>
      <b/>
      <sz val="11"/>
      <color rgb="FFFF0000"/>
      <name val="휴먼명조"/>
      <family val="3"/>
    </font>
    <font>
      <b/>
      <sz val="11"/>
      <color rgb="FFFF0000"/>
      <name val="굴림"/>
      <family val="3"/>
    </font>
    <font>
      <sz val="11"/>
      <color rgb="FF000000"/>
      <name val="돋움"/>
      <family val="3"/>
    </font>
    <font>
      <b/>
      <sz val="9"/>
      <color indexed="8"/>
      <name val="돋움"/>
      <family val="3"/>
    </font>
    <font>
      <b/>
      <sz val="11"/>
      <color rgb="FFFF0066"/>
      <name val="돋움"/>
      <family val="3"/>
    </font>
    <font>
      <b/>
      <sz val="12"/>
      <color rgb="FFFF0000"/>
      <name val="맑은고딕"/>
      <family val="3"/>
    </font>
    <font>
      <b/>
      <sz val="30"/>
      <color rgb="FF000000"/>
      <name val="맑은 고딕"/>
      <family val="3"/>
    </font>
    <font>
      <b/>
      <sz val="16"/>
      <color rgb="FF000000"/>
      <name val="맑은 고딕"/>
      <family val="3"/>
    </font>
    <font>
      <sz val="9"/>
      <color rgb="FF000000"/>
      <name val="맑은 고딕"/>
      <family val="3"/>
    </font>
    <font>
      <sz val="11"/>
      <color rgb="FFFF0000"/>
      <name val="Calibri"/>
      <family val="3"/>
      <scheme val="minor"/>
    </font>
    <font>
      <sz val="11"/>
      <color rgb="FFFF0000"/>
      <name val="맑은 고딕"/>
      <family val="3"/>
    </font>
    <font>
      <b/>
      <sz val="14"/>
      <name val="Cambria"/>
      <family val="3"/>
      <scheme val="major"/>
    </font>
    <font>
      <b/>
      <sz val="9"/>
      <color rgb="FFFF0000"/>
      <name val="돋움"/>
      <family val="3"/>
    </font>
    <font>
      <b/>
      <sz val="9"/>
      <color rgb="FF3333FF"/>
      <name val="돋움"/>
      <family val="3"/>
    </font>
    <font>
      <b/>
      <sz val="11"/>
      <name val="Calibri"/>
      <family val="3"/>
      <scheme val="minor"/>
    </font>
    <font>
      <b/>
      <sz val="11"/>
      <name val="굴림"/>
      <family val="3"/>
    </font>
    <font>
      <sz val="6"/>
      <color theme="1"/>
      <name val="맑은고딕"/>
      <family val="3"/>
    </font>
    <font>
      <sz val="11"/>
      <name val="굴림"/>
      <family val="3"/>
    </font>
    <font>
      <b/>
      <sz val="11"/>
      <color indexed="10"/>
      <name val="돋움"/>
      <family val="3"/>
    </font>
    <font>
      <sz val="10"/>
      <color theme="1"/>
      <name val="맑은고딕"/>
      <family val="3"/>
    </font>
    <font>
      <b/>
      <sz val="10"/>
      <color rgb="FFFF0000"/>
      <name val="맑은고딕"/>
      <family val="3"/>
    </font>
    <font>
      <sz val="9"/>
      <color rgb="FF0D47A1"/>
      <name val="Calibri"/>
      <family val="3"/>
      <scheme val="minor"/>
    </font>
    <font>
      <sz val="9"/>
      <color rgb="FF000000"/>
      <name val="Calibri"/>
      <family val="3"/>
      <scheme val="minor"/>
    </font>
    <font>
      <sz val="9"/>
      <color rgb="FF252525"/>
      <name val="Calibri"/>
      <family val="3"/>
      <scheme val="minor"/>
    </font>
    <font>
      <b/>
      <sz val="8"/>
      <name val="Calibri"/>
      <family val="2"/>
    </font>
    <font>
      <sz val="8"/>
      <name val="Tahoma"/>
      <family val="2"/>
    </font>
  </fonts>
  <fills count="23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53">
    <border>
      <left/>
      <right/>
      <top/>
      <bottom/>
      <diagonal/>
    </border>
    <border>
      <left style="dotted">
        <color rgb="FF000000"/>
      </left>
      <right/>
      <top/>
      <bottom/>
    </border>
    <border>
      <left style="dotted">
        <color rgb="FF000000"/>
      </left>
      <right/>
      <top/>
      <bottom style="dotted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>
        <color rgb="FF000000"/>
      </bottom>
    </border>
    <border>
      <left/>
      <right style="dotted">
        <color rgb="FF000000"/>
      </right>
      <top/>
      <bottom style="dotted">
        <color rgb="FF000000"/>
      </bottom>
    </border>
    <border>
      <left/>
      <right/>
      <top style="dotted">
        <color rgb="FF000000"/>
      </top>
      <bottom style="medium"/>
    </border>
    <border>
      <left/>
      <right style="dotted">
        <color rgb="FF000000"/>
      </right>
      <top style="dotted">
        <color rgb="FF000000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 diagonalUp="1">
      <left style="medium"/>
      <right style="thin"/>
      <top style="medium"/>
      <bottom style="thin"/>
      <diagonal style="hair"/>
    </border>
    <border diagonalUp="1">
      <left style="thin"/>
      <right style="medium"/>
      <top style="medium"/>
      <bottom style="thin"/>
      <diagonal style="hair"/>
    </border>
    <border>
      <left style="hair"/>
      <right style="hair"/>
      <top style="hair"/>
      <bottom style="hair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mediumDashed"/>
      <right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hair"/>
      <right style="medium"/>
      <top style="hair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dotted"/>
      <right/>
      <top style="dotted"/>
      <bottom style="mediumDashed"/>
    </border>
    <border>
      <left/>
      <right style="mediumDashed"/>
      <top style="dotted"/>
      <bottom style="mediumDash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 style="mediumDashed"/>
      <top style="dotted"/>
      <bottom/>
    </border>
    <border>
      <left style="dotted"/>
      <right/>
      <top/>
      <bottom style="mediumDashed"/>
    </border>
    <border>
      <left/>
      <right style="mediumDashed"/>
      <top/>
      <bottom style="mediumDashed"/>
    </border>
    <border>
      <left/>
      <right style="dotted"/>
      <top/>
      <bottom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/>
      <top style="medium"/>
      <bottom/>
    </border>
    <border diagonalUp="1">
      <left style="medium"/>
      <right/>
      <top style="medium"/>
      <bottom style="medium"/>
      <diagonal style="thin"/>
    </border>
    <border diagonalUp="1">
      <left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 diagonalUp="1">
      <left/>
      <right style="medium"/>
      <top style="medium"/>
      <bottom style="medium"/>
      <diagonal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medium"/>
      <bottom style="medium"/>
    </border>
    <border diagonalDown="1">
      <left style="medium"/>
      <right/>
      <top style="medium"/>
      <bottom style="thin"/>
      <diagonal style="thin"/>
    </border>
    <border diagonalDown="1">
      <left/>
      <right/>
      <top style="medium"/>
      <bottom style="thin"/>
      <diagonal style="thin"/>
    </border>
    <border diagonalDown="1">
      <left/>
      <right style="medium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thin"/>
      <top/>
      <bottom style="thin"/>
      <diagonal style="thin"/>
    </border>
    <border diagonalUp="1">
      <left style="thin"/>
      <right style="thin"/>
      <top/>
      <bottom style="thin"/>
      <diagonal style="thin"/>
    </border>
    <border>
      <left style="medium"/>
      <right/>
      <top/>
      <bottom style="thin"/>
    </border>
    <border diagonalUp="1">
      <left/>
      <right/>
      <top style="thin"/>
      <bottom style="thin"/>
      <diagonal style="thin"/>
    </border>
    <border>
      <left/>
      <right style="medium"/>
      <top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/>
      <top style="thin"/>
      <bottom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/>
      <right style="mediumDash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/>
      <bottom/>
    </border>
    <border>
      <left style="dotted">
        <color rgb="FF000000"/>
      </left>
      <right/>
      <top style="dotted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91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7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6" fillId="0" borderId="1" xfId="0" applyFont="1" applyBorder="1" applyAlignment="1" applyProtection="1">
      <alignment vertical="center" wrapText="1"/>
      <protection/>
    </xf>
    <xf numFmtId="0" fontId="26" fillId="0" borderId="2" xfId="0" applyFont="1" applyBorder="1" applyAlignment="1" applyProtection="1">
      <alignment horizontal="justify" vertical="center" wrapText="1"/>
      <protection/>
    </xf>
    <xf numFmtId="0" fontId="26" fillId="0" borderId="0" xfId="0" applyFont="1" applyBorder="1" applyAlignment="1" applyProtection="1">
      <alignment vertical="center" wrapText="1"/>
      <protection/>
    </xf>
    <xf numFmtId="0" fontId="5" fillId="0" borderId="0" xfId="23" applyFont="1" applyAlignment="1" applyProtection="1">
      <alignment vertical="center" wrapText="1"/>
      <protection/>
    </xf>
    <xf numFmtId="0" fontId="5" fillId="0" borderId="0" xfId="23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27" fillId="2" borderId="0" xfId="0" applyFont="1" applyFill="1" applyAlignment="1" applyProtection="1">
      <alignment vertical="center"/>
      <protection/>
    </xf>
    <xf numFmtId="0" fontId="27" fillId="2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23" applyFont="1" applyFill="1" applyAlignment="1" applyProtection="1">
      <alignment horizontal="center" vertical="center" shrinkToFit="1"/>
      <protection/>
    </xf>
    <xf numFmtId="0" fontId="5" fillId="0" borderId="0" xfId="23" applyAlignment="1" applyProtection="1">
      <alignment vertical="center" wrapText="1"/>
      <protection/>
    </xf>
    <xf numFmtId="0" fontId="13" fillId="3" borderId="4" xfId="2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27" fillId="0" borderId="0" xfId="0" applyFont="1" applyFill="1" applyAlignment="1" applyProtection="1">
      <alignment vertical="center"/>
      <protection/>
    </xf>
    <xf numFmtId="0" fontId="5" fillId="0" borderId="0" xfId="23" applyAlignment="1" applyProtection="1">
      <alignment vertical="center"/>
      <protection/>
    </xf>
    <xf numFmtId="0" fontId="5" fillId="4" borderId="3" xfId="23" applyFill="1" applyBorder="1" applyAlignment="1" applyProtection="1">
      <alignment horizontal="center" vertical="center" wrapText="1"/>
      <protection/>
    </xf>
    <xf numFmtId="0" fontId="5" fillId="4" borderId="3" xfId="23" applyFill="1" applyBorder="1" applyAlignment="1" applyProtection="1">
      <alignment horizontal="center" vertical="center"/>
      <protection/>
    </xf>
    <xf numFmtId="0" fontId="5" fillId="0" borderId="3" xfId="23" applyBorder="1" applyAlignment="1" applyProtection="1">
      <alignment horizontal="center" vertical="center"/>
      <protection/>
    </xf>
    <xf numFmtId="0" fontId="5" fillId="0" borderId="0" xfId="23" applyFill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38" fillId="0" borderId="5" xfId="0" applyFont="1" applyBorder="1" applyAlignment="1" applyProtection="1">
      <alignment vertical="top" wrapText="1"/>
      <protection/>
    </xf>
    <xf numFmtId="0" fontId="26" fillId="0" borderId="6" xfId="0" applyFont="1" applyBorder="1" applyAlignment="1" applyProtection="1">
      <alignment vertical="center" wrapText="1"/>
      <protection/>
    </xf>
    <xf numFmtId="0" fontId="38" fillId="0" borderId="7" xfId="0" applyFont="1" applyBorder="1" applyAlignment="1" applyProtection="1">
      <alignment vertical="top" wrapText="1"/>
      <protection/>
    </xf>
    <xf numFmtId="0" fontId="26" fillId="0" borderId="8" xfId="0" applyFont="1" applyBorder="1" applyAlignment="1" applyProtection="1">
      <alignment vertical="center" wrapText="1"/>
      <protection/>
    </xf>
    <xf numFmtId="0" fontId="9" fillId="0" borderId="0" xfId="23" applyFont="1" applyAlignment="1" applyProtection="1">
      <alignment vertical="center"/>
      <protection/>
    </xf>
    <xf numFmtId="0" fontId="5" fillId="0" borderId="0" xfId="23" applyFont="1" applyFill="1" applyBorder="1" applyAlignment="1" applyProtection="1">
      <alignment horizontal="center" vertical="center" shrinkToFit="1"/>
      <protection/>
    </xf>
    <xf numFmtId="0" fontId="8" fillId="5" borderId="9" xfId="23" applyFont="1" applyFill="1" applyBorder="1" applyAlignment="1" applyProtection="1">
      <alignment horizontal="center" vertical="center"/>
      <protection/>
    </xf>
    <xf numFmtId="0" fontId="8" fillId="5" borderId="10" xfId="23" applyFont="1" applyFill="1" applyBorder="1" applyAlignment="1" applyProtection="1">
      <alignment horizontal="center" vertical="center"/>
      <protection/>
    </xf>
    <xf numFmtId="0" fontId="8" fillId="5" borderId="11" xfId="23" applyFont="1" applyFill="1" applyBorder="1" applyAlignment="1" applyProtection="1">
      <alignment horizontal="center" vertical="center"/>
      <protection/>
    </xf>
    <xf numFmtId="182" fontId="8" fillId="5" borderId="10" xfId="23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Continuous" vertical="center"/>
    </xf>
    <xf numFmtId="0" fontId="40" fillId="0" borderId="13" xfId="0" applyFont="1" applyBorder="1" applyAlignment="1">
      <alignment horizontal="centerContinuous" vertical="center"/>
    </xf>
    <xf numFmtId="0" fontId="40" fillId="0" borderId="14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 wrapText="1"/>
    </xf>
    <xf numFmtId="0" fontId="41" fillId="4" borderId="0" xfId="0" applyFont="1" applyFill="1" applyAlignment="1">
      <alignment vertical="center"/>
    </xf>
    <xf numFmtId="0" fontId="46" fillId="6" borderId="17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vertical="center" wrapText="1"/>
      <protection/>
    </xf>
    <xf numFmtId="0" fontId="8" fillId="0" borderId="18" xfId="23" applyFont="1" applyBorder="1" applyAlignment="1" applyProtection="1">
      <alignment horizontal="center" vertical="center" shrinkToFit="1"/>
      <protection/>
    </xf>
    <xf numFmtId="0" fontId="8" fillId="0" borderId="19" xfId="23" applyFont="1" applyBorder="1" applyAlignment="1" applyProtection="1">
      <alignment horizontal="center" vertical="center" shrinkToFit="1"/>
      <protection/>
    </xf>
    <xf numFmtId="0" fontId="8" fillId="7" borderId="20" xfId="23" applyFont="1" applyFill="1" applyBorder="1" applyAlignment="1" applyProtection="1">
      <alignment horizontal="center" vertical="center" wrapText="1"/>
      <protection locked="0"/>
    </xf>
    <xf numFmtId="0" fontId="8" fillId="0" borderId="21" xfId="23" applyFont="1" applyBorder="1" applyAlignment="1" applyProtection="1">
      <alignment horizontal="center" vertical="center" shrinkToFit="1"/>
      <protection/>
    </xf>
    <xf numFmtId="0" fontId="8" fillId="0" borderId="22" xfId="23" applyFont="1" applyBorder="1" applyAlignment="1" applyProtection="1">
      <alignment horizontal="center" vertical="center" shrinkToFit="1"/>
      <protection/>
    </xf>
    <xf numFmtId="179" fontId="8" fillId="8" borderId="10" xfId="23" applyNumberFormat="1" applyFont="1" applyFill="1" applyBorder="1" applyAlignment="1" applyProtection="1">
      <alignment horizontal="center" vertical="center" shrinkToFit="1"/>
      <protection/>
    </xf>
    <xf numFmtId="179" fontId="8" fillId="8" borderId="23" xfId="23" applyNumberFormat="1" applyFont="1" applyFill="1" applyBorder="1" applyAlignment="1" applyProtection="1">
      <alignment horizontal="center" vertical="center" shrinkToFit="1"/>
      <protection/>
    </xf>
    <xf numFmtId="179" fontId="8" fillId="0" borderId="21" xfId="23" applyNumberFormat="1" applyFont="1" applyBorder="1" applyAlignment="1" applyProtection="1">
      <alignment horizontal="center" vertical="center" shrinkToFit="1"/>
      <protection/>
    </xf>
    <xf numFmtId="179" fontId="8" fillId="0" borderId="22" xfId="23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3" xfId="23" applyFont="1" applyBorder="1" applyAlignment="1" applyProtection="1">
      <alignment horizontal="center" vertical="center" shrinkToFit="1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0" fontId="5" fillId="9" borderId="3" xfId="23" applyFill="1" applyBorder="1" applyAlignment="1" applyProtection="1">
      <alignment horizontal="center" vertical="center" wrapText="1"/>
      <protection/>
    </xf>
    <xf numFmtId="0" fontId="5" fillId="9" borderId="3" xfId="23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5" fillId="0" borderId="3" xfId="23" applyFont="1" applyBorder="1" applyAlignment="1" applyProtection="1">
      <alignment horizontal="center" vertical="center"/>
      <protection/>
    </xf>
    <xf numFmtId="14" fontId="49" fillId="0" borderId="0" xfId="23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Alignment="1" applyProtection="1">
      <alignment vertical="center"/>
      <protection/>
    </xf>
    <xf numFmtId="0" fontId="50" fillId="0" borderId="0" xfId="0" applyNumberFormat="1" applyFont="1" applyAlignment="1" applyProtection="1">
      <alignment vertical="center"/>
      <protection/>
    </xf>
    <xf numFmtId="0" fontId="51" fillId="0" borderId="0" xfId="0" applyNumberFormat="1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7" borderId="4" xfId="0" applyFont="1" applyFill="1" applyBorder="1" applyAlignment="1" applyProtection="1">
      <alignment vertical="center" wrapText="1"/>
      <protection/>
    </xf>
    <xf numFmtId="0" fontId="51" fillId="7" borderId="24" xfId="0" applyFont="1" applyFill="1" applyBorder="1" applyAlignment="1" applyProtection="1">
      <alignment horizontal="right" vertical="center"/>
      <protection/>
    </xf>
    <xf numFmtId="0" fontId="51" fillId="7" borderId="24" xfId="0" applyFont="1" applyFill="1" applyBorder="1" applyAlignment="1" applyProtection="1">
      <alignment vertical="center"/>
      <protection/>
    </xf>
    <xf numFmtId="0" fontId="51" fillId="7" borderId="25" xfId="0" applyFont="1" applyFill="1" applyBorder="1" applyAlignment="1" applyProtection="1">
      <alignment vertical="center" wrapText="1"/>
      <protection/>
    </xf>
    <xf numFmtId="0" fontId="51" fillId="7" borderId="4" xfId="0" applyFont="1" applyFill="1" applyBorder="1" applyAlignment="1" applyProtection="1">
      <alignment horizontal="right" vertical="center"/>
      <protection/>
    </xf>
    <xf numFmtId="0" fontId="51" fillId="7" borderId="4" xfId="0" applyFont="1" applyFill="1" applyBorder="1" applyAlignment="1" applyProtection="1">
      <alignment vertical="center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5" fillId="7" borderId="24" xfId="0" applyFont="1" applyFill="1" applyBorder="1" applyAlignment="1" applyProtection="1">
      <alignment vertical="center"/>
      <protection/>
    </xf>
    <xf numFmtId="0" fontId="51" fillId="0" borderId="24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0" fillId="3" borderId="3" xfId="0" applyFill="1" applyBorder="1" applyAlignment="1">
      <alignment vertical="center"/>
    </xf>
    <xf numFmtId="14" fontId="51" fillId="0" borderId="24" xfId="23" applyNumberFormat="1" applyFont="1" applyFill="1" applyBorder="1" applyAlignment="1" applyProtection="1">
      <alignment vertical="center"/>
      <protection locked="0"/>
    </xf>
    <xf numFmtId="0" fontId="51" fillId="0" borderId="26" xfId="0" applyFont="1" applyBorder="1" applyAlignment="1" applyProtection="1">
      <alignment vertical="center"/>
      <protection/>
    </xf>
    <xf numFmtId="0" fontId="14" fillId="4" borderId="13" xfId="23" applyNumberFormat="1" applyFont="1" applyFill="1" applyBorder="1" applyAlignment="1" applyProtection="1">
      <alignment vertical="center"/>
      <protection/>
    </xf>
    <xf numFmtId="0" fontId="50" fillId="4" borderId="14" xfId="0" applyNumberFormat="1" applyFont="1" applyFill="1" applyBorder="1" applyAlignment="1" applyProtection="1">
      <alignment vertical="center"/>
      <protection/>
    </xf>
    <xf numFmtId="0" fontId="53" fillId="4" borderId="13" xfId="0" applyFont="1" applyFill="1" applyBorder="1" applyAlignment="1" applyProtection="1">
      <alignment vertical="center"/>
      <protection/>
    </xf>
    <xf numFmtId="0" fontId="50" fillId="4" borderId="13" xfId="0" applyNumberFormat="1" applyFont="1" applyFill="1" applyBorder="1" applyAlignment="1" applyProtection="1">
      <alignment vertical="center"/>
      <protection/>
    </xf>
    <xf numFmtId="0" fontId="14" fillId="0" borderId="0" xfId="23" applyNumberFormat="1" applyFont="1" applyFill="1" applyBorder="1" applyAlignment="1" applyProtection="1">
      <alignment horizontal="left" vertical="center"/>
      <protection/>
    </xf>
    <xf numFmtId="0" fontId="52" fillId="0" borderId="0" xfId="23" applyNumberFormat="1" applyFont="1" applyFill="1" applyBorder="1" applyAlignment="1" applyProtection="1">
      <alignment horizontal="right" vertical="center"/>
      <protection/>
    </xf>
    <xf numFmtId="0" fontId="14" fillId="0" borderId="0" xfId="23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10" borderId="27" xfId="0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1" fillId="4" borderId="3" xfId="0" applyFont="1" applyFill="1" applyBorder="1" applyAlignment="1" applyProtection="1">
      <alignment horizontal="center" vertical="center"/>
      <protection/>
    </xf>
    <xf numFmtId="0" fontId="51" fillId="4" borderId="3" xfId="0" applyFont="1" applyFill="1" applyBorder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" fillId="0" borderId="3" xfId="21" applyFont="1" applyFill="1" applyBorder="1" applyAlignment="1" applyProtection="1">
      <alignment horizontal="center" vertical="center"/>
      <protection/>
    </xf>
    <xf numFmtId="0" fontId="8" fillId="3" borderId="4" xfId="23" applyFont="1" applyFill="1" applyBorder="1" applyAlignment="1" applyProtection="1">
      <alignment horizontal="center" vertical="center"/>
      <protection/>
    </xf>
    <xf numFmtId="0" fontId="8" fillId="9" borderId="4" xfId="23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/>
    </xf>
    <xf numFmtId="0" fontId="5" fillId="0" borderId="28" xfId="23" applyFont="1" applyFill="1" applyBorder="1" applyAlignment="1" applyProtection="1">
      <alignment vertical="center"/>
      <protection/>
    </xf>
    <xf numFmtId="0" fontId="49" fillId="3" borderId="3" xfId="0" applyFont="1" applyFill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/>
    </xf>
    <xf numFmtId="0" fontId="51" fillId="0" borderId="3" xfId="0" applyFont="1" applyBorder="1" applyAlignment="1" applyProtection="1">
      <alignment vertical="center"/>
      <protection/>
    </xf>
    <xf numFmtId="0" fontId="8" fillId="0" borderId="0" xfId="23" applyFont="1" applyFill="1" applyBorder="1" applyAlignment="1" applyProtection="1">
      <alignment horizontal="center" vertical="center" wrapText="1"/>
      <protection/>
    </xf>
    <xf numFmtId="0" fontId="8" fillId="0" borderId="0" xfId="23" applyFont="1" applyBorder="1" applyAlignment="1" applyProtection="1">
      <alignment horizontal="center" vertical="center" wrapText="1"/>
      <protection/>
    </xf>
    <xf numFmtId="190" fontId="8" fillId="0" borderId="0" xfId="23" applyNumberFormat="1" applyFont="1" applyBorder="1" applyAlignment="1" applyProtection="1">
      <alignment horizontal="center" vertical="center" shrinkToFit="1"/>
      <protection/>
    </xf>
    <xf numFmtId="179" fontId="35" fillId="0" borderId="0" xfId="23" applyNumberFormat="1" applyFont="1" applyBorder="1" applyAlignment="1" applyProtection="1">
      <alignment horizontal="center" vertical="center" shrinkToFit="1"/>
      <protection/>
    </xf>
    <xf numFmtId="180" fontId="8" fillId="3" borderId="29" xfId="23" applyNumberFormat="1" applyFont="1" applyFill="1" applyBorder="1" applyAlignment="1" applyProtection="1">
      <alignment horizontal="center" vertical="center"/>
      <protection/>
    </xf>
    <xf numFmtId="179" fontId="53" fillId="6" borderId="3" xfId="23" applyNumberFormat="1" applyFont="1" applyFill="1" applyBorder="1" applyAlignment="1" applyProtection="1">
      <alignment horizontal="center" vertical="center"/>
      <protection/>
    </xf>
    <xf numFmtId="179" fontId="8" fillId="6" borderId="3" xfId="23" applyNumberFormat="1" applyFont="1" applyFill="1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vertical="center"/>
      <protection/>
    </xf>
    <xf numFmtId="0" fontId="8" fillId="0" borderId="0" xfId="23" applyFont="1" applyAlignment="1" applyProtection="1">
      <alignment vertical="center"/>
      <protection/>
    </xf>
    <xf numFmtId="0" fontId="8" fillId="0" borderId="0" xfId="23" applyFont="1" applyAlignment="1" applyProtection="1">
      <alignment vertical="center"/>
      <protection/>
    </xf>
    <xf numFmtId="0" fontId="8" fillId="0" borderId="0" xfId="23" applyFont="1" applyAlignment="1" applyProtection="1">
      <alignment vertical="center" wrapText="1"/>
      <protection/>
    </xf>
    <xf numFmtId="0" fontId="8" fillId="3" borderId="4" xfId="23" applyFont="1" applyFill="1" applyBorder="1" applyAlignment="1" applyProtection="1">
      <alignment vertical="center" shrinkToFit="1"/>
      <protection/>
    </xf>
    <xf numFmtId="0" fontId="51" fillId="0" borderId="0" xfId="0" applyNumberFormat="1" applyFont="1" applyBorder="1" applyAlignment="1" applyProtection="1">
      <alignment vertical="center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7" borderId="30" xfId="0" applyFont="1" applyFill="1" applyBorder="1" applyAlignment="1" applyProtection="1">
      <alignment vertical="center"/>
      <protection/>
    </xf>
    <xf numFmtId="0" fontId="51" fillId="7" borderId="25" xfId="0" applyFont="1" applyFill="1" applyBorder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0" fontId="70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179" fontId="71" fillId="0" borderId="0" xfId="23" applyNumberFormat="1" applyFont="1" applyFill="1" applyBorder="1" applyAlignment="1" applyProtection="1">
      <alignment vertical="center" wrapText="1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 wrapText="1"/>
      <protection/>
    </xf>
    <xf numFmtId="0" fontId="66" fillId="0" borderId="0" xfId="0" applyFont="1" applyFill="1" applyAlignment="1" applyProtection="1">
      <alignment vertical="center"/>
      <protection/>
    </xf>
    <xf numFmtId="0" fontId="65" fillId="0" borderId="0" xfId="0" applyNumberFormat="1" applyFont="1" applyFill="1" applyBorder="1" applyAlignment="1" applyProtection="1">
      <alignment vertical="center" shrinkToFi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/>
      <protection/>
    </xf>
    <xf numFmtId="0" fontId="66" fillId="0" borderId="31" xfId="0" applyFont="1" applyBorder="1" applyAlignment="1" applyProtection="1">
      <alignment vertical="center"/>
      <protection/>
    </xf>
    <xf numFmtId="0" fontId="66" fillId="0" borderId="28" xfId="0" applyFont="1" applyBorder="1" applyAlignment="1" applyProtection="1">
      <alignment vertical="center"/>
      <protection/>
    </xf>
    <xf numFmtId="0" fontId="66" fillId="0" borderId="31" xfId="0" applyFont="1" applyFill="1" applyBorder="1" applyAlignment="1" applyProtection="1">
      <alignment vertical="center"/>
      <protection/>
    </xf>
    <xf numFmtId="0" fontId="65" fillId="0" borderId="28" xfId="0" applyFont="1" applyFill="1" applyBorder="1" applyAlignment="1" applyProtection="1">
      <alignment vertical="center" wrapText="1"/>
      <protection/>
    </xf>
    <xf numFmtId="0" fontId="67" fillId="0" borderId="28" xfId="0" applyFont="1" applyBorder="1" applyAlignment="1" applyProtection="1">
      <alignment vertical="center"/>
      <protection/>
    </xf>
    <xf numFmtId="0" fontId="72" fillId="0" borderId="31" xfId="0" applyFont="1" applyBorder="1" applyAlignment="1" applyProtection="1">
      <alignment vertical="center" wrapText="1"/>
      <protection/>
    </xf>
    <xf numFmtId="0" fontId="66" fillId="0" borderId="32" xfId="0" applyFont="1" applyBorder="1" applyAlignment="1" applyProtection="1">
      <alignment vertical="center"/>
      <protection/>
    </xf>
    <xf numFmtId="0" fontId="66" fillId="0" borderId="33" xfId="0" applyFont="1" applyBorder="1" applyAlignment="1" applyProtection="1">
      <alignment vertical="center"/>
      <protection/>
    </xf>
    <xf numFmtId="0" fontId="66" fillId="0" borderId="34" xfId="0" applyFont="1" applyBorder="1" applyAlignment="1" applyProtection="1">
      <alignment vertical="center"/>
      <protection/>
    </xf>
    <xf numFmtId="0" fontId="66" fillId="0" borderId="31" xfId="0" applyFont="1" applyBorder="1" applyAlignment="1" applyProtection="1">
      <alignment horizontal="center" vertical="center" textRotation="255"/>
      <protection/>
    </xf>
    <xf numFmtId="0" fontId="66" fillId="0" borderId="0" xfId="0" applyFont="1" applyBorder="1" applyAlignment="1" applyProtection="1">
      <alignment horizontal="center" vertical="center" textRotation="255"/>
      <protection/>
    </xf>
    <xf numFmtId="0" fontId="65" fillId="0" borderId="0" xfId="0" applyFont="1" applyBorder="1" applyAlignment="1" applyProtection="1">
      <alignment horizontal="left" vertical="center" wrapText="1"/>
      <protection/>
    </xf>
    <xf numFmtId="0" fontId="65" fillId="0" borderId="28" xfId="0" applyFont="1" applyBorder="1" applyAlignment="1" applyProtection="1">
      <alignment horizontal="left" vertical="center" wrapText="1"/>
      <protection/>
    </xf>
    <xf numFmtId="0" fontId="66" fillId="0" borderId="35" xfId="0" applyFont="1" applyBorder="1" applyAlignment="1" applyProtection="1">
      <alignment vertical="center"/>
      <protection/>
    </xf>
    <xf numFmtId="0" fontId="66" fillId="0" borderId="36" xfId="0" applyFont="1" applyBorder="1" applyAlignment="1" applyProtection="1">
      <alignment vertical="center"/>
      <protection/>
    </xf>
    <xf numFmtId="0" fontId="73" fillId="0" borderId="36" xfId="0" applyFont="1" applyBorder="1" applyAlignment="1" applyProtection="1">
      <alignment horizontal="center" vertical="center"/>
      <protection/>
    </xf>
    <xf numFmtId="0" fontId="67" fillId="0" borderId="37" xfId="0" applyFont="1" applyBorder="1" applyAlignment="1" applyProtection="1">
      <alignment vertical="center"/>
      <protection/>
    </xf>
    <xf numFmtId="0" fontId="38" fillId="0" borderId="38" xfId="0" applyFont="1" applyBorder="1" applyAlignment="1" applyProtection="1">
      <alignment horizontal="left" vertical="center" wrapText="1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8" fillId="0" borderId="23" xfId="0" applyFont="1" applyBorder="1" applyAlignment="1" applyProtection="1">
      <alignment horizontal="left" vertical="center" wrapText="1"/>
      <protection/>
    </xf>
    <xf numFmtId="0" fontId="38" fillId="0" borderId="29" xfId="0" applyFont="1" applyBorder="1" applyAlignment="1" applyProtection="1">
      <alignment horizontal="left" vertical="center" wrapText="1"/>
      <protection/>
    </xf>
    <xf numFmtId="0" fontId="26" fillId="0" borderId="2" xfId="0" applyFont="1" applyBorder="1" applyAlignment="1" applyProtection="1">
      <alignment vertical="center" wrapText="1"/>
      <protection/>
    </xf>
    <xf numFmtId="0" fontId="66" fillId="0" borderId="39" xfId="0" applyFont="1" applyBorder="1" applyAlignment="1" applyProtection="1">
      <alignment vertical="center"/>
      <protection/>
    </xf>
    <xf numFmtId="0" fontId="66" fillId="0" borderId="40" xfId="0" applyFont="1" applyBorder="1" applyAlignment="1" applyProtection="1">
      <alignment vertical="center"/>
      <protection/>
    </xf>
    <xf numFmtId="0" fontId="66" fillId="0" borderId="41" xfId="0" applyFont="1" applyBorder="1" applyAlignment="1" applyProtection="1">
      <alignment vertical="center"/>
      <protection/>
    </xf>
    <xf numFmtId="184" fontId="28" fillId="0" borderId="24" xfId="0" applyNumberFormat="1" applyFont="1" applyFill="1" applyBorder="1" applyAlignment="1" applyProtection="1">
      <alignment vertical="center" wrapText="1"/>
      <protection/>
    </xf>
    <xf numFmtId="184" fontId="28" fillId="0" borderId="42" xfId="0" applyNumberFormat="1" applyFont="1" applyFill="1" applyBorder="1" applyAlignment="1" applyProtection="1">
      <alignment vertical="center" wrapText="1"/>
      <protection/>
    </xf>
    <xf numFmtId="197" fontId="44" fillId="6" borderId="43" xfId="0" applyNumberFormat="1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3" xfId="0" applyBorder="1" applyAlignment="1">
      <alignment horizontal="center" vertical="center" shrinkToFit="1"/>
    </xf>
    <xf numFmtId="186" fontId="0" fillId="0" borderId="3" xfId="0" applyNumberFormat="1" applyBorder="1" applyAlignment="1">
      <alignment horizontal="center" vertical="center" shrinkToFit="1"/>
    </xf>
    <xf numFmtId="0" fontId="8" fillId="7" borderId="44" xfId="23" applyFont="1" applyFill="1" applyBorder="1" applyAlignment="1" applyProtection="1">
      <alignment horizontal="center" vertical="center" wrapText="1"/>
      <protection locked="0"/>
    </xf>
    <xf numFmtId="0" fontId="11" fillId="0" borderId="10" xfId="23" applyFont="1" applyFill="1" applyBorder="1" applyAlignment="1" applyProtection="1">
      <alignment horizontal="center" vertical="center" shrinkToFit="1"/>
      <protection/>
    </xf>
    <xf numFmtId="0" fontId="49" fillId="0" borderId="0" xfId="23" applyFont="1" applyFill="1" applyBorder="1" applyAlignment="1" applyProtection="1">
      <alignment vertical="center"/>
      <protection/>
    </xf>
    <xf numFmtId="177" fontId="86" fillId="0" borderId="28" xfId="23" applyNumberFormat="1" applyFont="1" applyFill="1" applyBorder="1" applyAlignment="1" applyProtection="1">
      <alignment vertical="center" shrinkToFit="1"/>
      <protection/>
    </xf>
    <xf numFmtId="0" fontId="83" fillId="0" borderId="28" xfId="23" applyFont="1" applyFill="1" applyBorder="1" applyAlignment="1" applyProtection="1">
      <alignment vertical="center"/>
      <protection/>
    </xf>
    <xf numFmtId="0" fontId="84" fillId="0" borderId="45" xfId="23" applyFont="1" applyFill="1" applyBorder="1" applyAlignment="1" applyProtection="1">
      <alignment horizontal="center" vertical="center" wrapText="1" shrinkToFit="1"/>
      <protection/>
    </xf>
    <xf numFmtId="0" fontId="19" fillId="0" borderId="46" xfId="23" applyFont="1" applyBorder="1" applyAlignment="1" applyProtection="1">
      <alignment horizontal="center" vertical="center" wrapText="1"/>
      <protection/>
    </xf>
    <xf numFmtId="0" fontId="19" fillId="0" borderId="47" xfId="23" applyFont="1" applyBorder="1" applyAlignment="1" applyProtection="1">
      <alignment horizontal="center" vertical="center" wrapText="1"/>
      <protection/>
    </xf>
    <xf numFmtId="0" fontId="84" fillId="0" borderId="23" xfId="23" applyFont="1" applyFill="1" applyBorder="1" applyAlignment="1" applyProtection="1">
      <alignment horizontal="center" vertical="center" shrinkToFit="1"/>
      <protection/>
    </xf>
    <xf numFmtId="0" fontId="84" fillId="0" borderId="23" xfId="23" applyNumberFormat="1" applyFont="1" applyFill="1" applyBorder="1" applyAlignment="1" applyProtection="1">
      <alignment horizontal="center" vertical="center" shrinkToFit="1"/>
      <protection/>
    </xf>
    <xf numFmtId="0" fontId="84" fillId="7" borderId="23" xfId="23" applyNumberFormat="1" applyFont="1" applyFill="1" applyBorder="1" applyAlignment="1" applyProtection="1">
      <alignment horizontal="center" vertical="center" shrinkToFit="1"/>
      <protection locked="0"/>
    </xf>
    <xf numFmtId="0" fontId="23" fillId="4" borderId="13" xfId="23" applyNumberFormat="1" applyFont="1" applyFill="1" applyBorder="1" applyAlignment="1" applyProtection="1">
      <alignment vertical="center"/>
      <protection/>
    </xf>
    <xf numFmtId="0" fontId="64" fillId="0" borderId="0" xfId="0" applyNumberFormat="1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4" fillId="7" borderId="0" xfId="0" applyFont="1" applyFill="1" applyAlignment="1" applyProtection="1">
      <alignment vertical="center"/>
      <protection/>
    </xf>
    <xf numFmtId="0" fontId="0" fillId="0" borderId="3" xfId="0" applyBorder="1" applyAlignment="1" applyProtection="1">
      <alignment vertical="center" shrinkToFit="1"/>
      <protection/>
    </xf>
    <xf numFmtId="0" fontId="8" fillId="9" borderId="4" xfId="23" applyFont="1" applyFill="1" applyBorder="1" applyAlignment="1" applyProtection="1">
      <alignment vertical="center" shrinkToFit="1"/>
      <protection/>
    </xf>
    <xf numFmtId="49" fontId="67" fillId="0" borderId="48" xfId="0" applyNumberFormat="1" applyFont="1" applyFill="1" applyBorder="1" applyAlignment="1">
      <alignment horizontal="left" vertical="center" shrinkToFit="1"/>
    </xf>
    <xf numFmtId="49" fontId="67" fillId="0" borderId="49" xfId="0" applyNumberFormat="1" applyFont="1" applyFill="1" applyBorder="1" applyAlignment="1">
      <alignment horizontal="left" vertical="center" shrinkToFit="1"/>
    </xf>
    <xf numFmtId="0" fontId="5" fillId="0" borderId="0" xfId="23" applyBorder="1" applyAlignment="1" applyProtection="1">
      <alignment horizontal="center" vertical="center" wrapText="1"/>
      <protection/>
    </xf>
    <xf numFmtId="0" fontId="8" fillId="0" borderId="10" xfId="23" applyFont="1" applyFill="1" applyBorder="1" applyAlignment="1" applyProtection="1">
      <alignment horizontal="center" vertical="center"/>
      <protection/>
    </xf>
    <xf numFmtId="188" fontId="35" fillId="0" borderId="50" xfId="23" applyNumberFormat="1" applyFont="1" applyFill="1" applyBorder="1" applyAlignment="1" applyProtection="1">
      <alignment horizontal="center" vertical="center" shrinkToFit="1"/>
      <protection/>
    </xf>
    <xf numFmtId="0" fontId="8" fillId="0" borderId="12" xfId="21" applyFont="1" applyFill="1" applyBorder="1" applyAlignment="1" applyProtection="1">
      <alignment horizontal="center" vertical="center" wrapText="1"/>
      <protection/>
    </xf>
    <xf numFmtId="0" fontId="27" fillId="2" borderId="0" xfId="0" applyFont="1" applyFill="1" applyAlignment="1" applyProtection="1">
      <alignment horizontal="left" vertical="center" wrapText="1"/>
      <protection/>
    </xf>
    <xf numFmtId="0" fontId="49" fillId="3" borderId="49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/>
    </xf>
    <xf numFmtId="0" fontId="33" fillId="7" borderId="0" xfId="0" applyFont="1" applyFill="1" applyBorder="1" applyAlignment="1" applyProtection="1">
      <alignment vertical="center" wrapText="1"/>
      <protection/>
    </xf>
    <xf numFmtId="0" fontId="91" fillId="0" borderId="0" xfId="25" applyAlignment="1" applyProtection="1">
      <alignment vertical="center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7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90" fillId="0" borderId="0" xfId="0" applyFont="1" applyAlignment="1">
      <alignment vertical="center"/>
    </xf>
    <xf numFmtId="0" fontId="70" fillId="0" borderId="0" xfId="0" applyFont="1" applyBorder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/>
      <protection/>
    </xf>
    <xf numFmtId="0" fontId="93" fillId="7" borderId="51" xfId="0" applyFont="1" applyFill="1" applyBorder="1" applyAlignment="1" applyProtection="1">
      <alignment horizontal="left" vertical="center"/>
      <protection/>
    </xf>
    <xf numFmtId="177" fontId="10" fillId="0" borderId="26" xfId="23" applyNumberFormat="1" applyFont="1" applyFill="1" applyBorder="1" applyAlignment="1" applyProtection="1">
      <alignment horizontal="center" vertical="center" shrinkToFit="1"/>
      <protection/>
    </xf>
    <xf numFmtId="0" fontId="49" fillId="0" borderId="26" xfId="0" applyFont="1" applyFill="1" applyBorder="1" applyAlignment="1" applyProtection="1">
      <alignment vertical="center"/>
      <protection/>
    </xf>
    <xf numFmtId="0" fontId="49" fillId="3" borderId="52" xfId="0" applyFont="1" applyFill="1" applyBorder="1" applyAlignment="1" applyProtection="1">
      <alignment horizontal="center" vertical="center"/>
      <protection locked="0"/>
    </xf>
    <xf numFmtId="0" fontId="51" fillId="3" borderId="52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49" fontId="94" fillId="0" borderId="48" xfId="0" applyNumberFormat="1" applyFont="1" applyFill="1" applyBorder="1" applyAlignment="1">
      <alignment horizontal="left" vertical="center" shrinkToFit="1"/>
    </xf>
    <xf numFmtId="49" fontId="94" fillId="0" borderId="48" xfId="0" applyNumberFormat="1" applyFont="1" applyFill="1" applyBorder="1" applyAlignment="1">
      <alignment horizontal="left" vertical="center" wrapText="1" shrinkToFit="1"/>
    </xf>
    <xf numFmtId="49" fontId="67" fillId="0" borderId="48" xfId="0" applyNumberFormat="1" applyFont="1" applyFill="1" applyBorder="1" applyAlignment="1">
      <alignment horizontal="left" wrapText="1" shrinkToFit="1"/>
    </xf>
    <xf numFmtId="49" fontId="65" fillId="0" borderId="53" xfId="0" applyNumberFormat="1" applyFont="1" applyFill="1" applyBorder="1" applyAlignment="1">
      <alignment horizontal="left" vertical="center" shrinkToFit="1"/>
    </xf>
    <xf numFmtId="49" fontId="65" fillId="0" borderId="48" xfId="0" applyNumberFormat="1" applyFont="1" applyFill="1" applyBorder="1" applyAlignment="1">
      <alignment horizontal="left" vertical="center" shrinkToFit="1"/>
    </xf>
    <xf numFmtId="49" fontId="65" fillId="0" borderId="48" xfId="0" applyNumberFormat="1" applyFont="1" applyFill="1" applyBorder="1" applyAlignment="1">
      <alignment horizontal="left" vertical="center" wrapText="1" shrinkToFit="1"/>
    </xf>
    <xf numFmtId="49" fontId="66" fillId="0" borderId="48" xfId="0" applyNumberFormat="1" applyFont="1" applyFill="1" applyBorder="1" applyAlignment="1">
      <alignment horizontal="left" wrapText="1" shrinkToFit="1"/>
    </xf>
    <xf numFmtId="49" fontId="66" fillId="0" borderId="48" xfId="0" applyNumberFormat="1" applyFont="1" applyFill="1" applyBorder="1" applyAlignment="1">
      <alignment horizontal="left" vertical="center" shrinkToFit="1"/>
    </xf>
    <xf numFmtId="49" fontId="66" fillId="0" borderId="49" xfId="0" applyNumberFormat="1" applyFont="1" applyFill="1" applyBorder="1" applyAlignment="1">
      <alignment horizontal="left" vertical="center" shrinkToFit="1"/>
    </xf>
    <xf numFmtId="49" fontId="66" fillId="0" borderId="53" xfId="0" applyNumberFormat="1" applyFont="1" applyFill="1" applyBorder="1" applyAlignment="1" applyProtection="1">
      <alignment horizontal="left" vertical="center" wrapText="1"/>
      <protection/>
    </xf>
    <xf numFmtId="49" fontId="66" fillId="0" borderId="48" xfId="0" applyNumberFormat="1" applyFont="1" applyFill="1" applyBorder="1" applyAlignment="1" applyProtection="1">
      <alignment horizontal="left" vertical="center" shrinkToFit="1"/>
      <protection/>
    </xf>
    <xf numFmtId="49" fontId="66" fillId="0" borderId="48" xfId="0" applyNumberFormat="1" applyFont="1" applyFill="1" applyBorder="1" applyAlignment="1" applyProtection="1">
      <alignment horizontal="left" vertical="center" wrapText="1"/>
      <protection/>
    </xf>
    <xf numFmtId="49" fontId="66" fillId="0" borderId="49" xfId="0" applyNumberFormat="1" applyFont="1" applyFill="1" applyBorder="1" applyAlignment="1" applyProtection="1">
      <alignment horizontal="left" vertical="center" wrapText="1"/>
      <protection/>
    </xf>
    <xf numFmtId="49" fontId="66" fillId="6" borderId="48" xfId="0" applyNumberFormat="1" applyFont="1" applyFill="1" applyBorder="1" applyAlignment="1">
      <alignment horizontal="left" vertical="center" shrinkToFit="1"/>
    </xf>
    <xf numFmtId="49" fontId="66" fillId="0" borderId="53" xfId="0" applyNumberFormat="1" applyFont="1" applyFill="1" applyBorder="1" applyAlignment="1" applyProtection="1" quotePrefix="1">
      <alignment vertical="center" wrapText="1"/>
      <protection/>
    </xf>
    <xf numFmtId="49" fontId="66" fillId="0" borderId="48" xfId="0" applyNumberFormat="1" applyFont="1" applyFill="1" applyBorder="1" applyAlignment="1" applyProtection="1">
      <alignment vertical="center" wrapText="1"/>
      <protection/>
    </xf>
    <xf numFmtId="49" fontId="66" fillId="0" borderId="49" xfId="0" applyNumberFormat="1" applyFont="1" applyFill="1" applyBorder="1" applyAlignment="1" applyProtection="1">
      <alignment vertical="center" wrapText="1"/>
      <protection/>
    </xf>
    <xf numFmtId="49" fontId="66" fillId="0" borderId="3" xfId="0" applyNumberFormat="1" applyFont="1" applyFill="1" applyBorder="1" applyAlignment="1" applyProtection="1" quotePrefix="1">
      <alignment vertical="center" wrapText="1"/>
      <protection/>
    </xf>
    <xf numFmtId="0" fontId="104" fillId="11" borderId="3" xfId="0" applyFont="1" applyFill="1" applyBorder="1" applyAlignment="1">
      <alignment horizontal="justify" vertical="center" wrapText="1"/>
    </xf>
    <xf numFmtId="49" fontId="66" fillId="0" borderId="53" xfId="0" applyNumberFormat="1" applyFont="1" applyFill="1" applyBorder="1" applyAlignment="1" applyProtection="1">
      <alignment vertical="center" wrapText="1"/>
      <protection/>
    </xf>
    <xf numFmtId="49" fontId="66" fillId="6" borderId="3" xfId="0" applyNumberFormat="1" applyFont="1" applyFill="1" applyBorder="1" applyAlignment="1" applyProtection="1" quotePrefix="1">
      <alignment vertical="center" wrapText="1"/>
      <protection/>
    </xf>
    <xf numFmtId="0" fontId="102" fillId="6" borderId="3" xfId="0" applyFont="1" applyFill="1" applyBorder="1" applyAlignment="1">
      <alignment horizontal="center" vertical="center" wrapText="1"/>
    </xf>
    <xf numFmtId="0" fontId="104" fillId="6" borderId="3" xfId="0" applyFont="1" applyFill="1" applyBorder="1" applyAlignment="1">
      <alignment horizontal="justify" vertical="center" wrapText="1"/>
    </xf>
    <xf numFmtId="0" fontId="106" fillId="6" borderId="3" xfId="0" applyFont="1" applyFill="1" applyBorder="1" applyAlignment="1">
      <alignment horizontal="left" vertical="center" wrapText="1"/>
    </xf>
    <xf numFmtId="0" fontId="104" fillId="6" borderId="3" xfId="0" applyFont="1" applyFill="1" applyBorder="1" applyAlignment="1">
      <alignment horizontal="justify" vertical="center" wrapText="1"/>
    </xf>
    <xf numFmtId="0" fontId="106" fillId="6" borderId="3" xfId="0" applyFont="1" applyFill="1" applyBorder="1" applyAlignment="1">
      <alignment horizontal="left" vertical="center" shrinkToFit="1"/>
    </xf>
    <xf numFmtId="49" fontId="66" fillId="0" borderId="3" xfId="0" applyNumberFormat="1" applyFont="1" applyFill="1" applyBorder="1" applyAlignment="1" applyProtection="1">
      <alignment horizontal="left" vertical="center" wrapText="1"/>
      <protection/>
    </xf>
    <xf numFmtId="49" fontId="65" fillId="0" borderId="54" xfId="0" applyNumberFormat="1" applyFont="1" applyFill="1" applyBorder="1" applyAlignment="1">
      <alignment horizontal="left" vertical="center" shrinkToFit="1"/>
    </xf>
    <xf numFmtId="0" fontId="108" fillId="4" borderId="0" xfId="0" applyFont="1" applyFill="1" applyAlignment="1">
      <alignment vertical="center"/>
    </xf>
    <xf numFmtId="0" fontId="8" fillId="12" borderId="0" xfId="23" applyFont="1" applyFill="1" applyBorder="1" applyAlignment="1" applyProtection="1">
      <alignment horizontal="center" vertical="center"/>
      <protection/>
    </xf>
    <xf numFmtId="179" fontId="53" fillId="6" borderId="0" xfId="23" applyNumberFormat="1" applyFont="1" applyFill="1" applyBorder="1" applyAlignment="1" applyProtection="1">
      <alignment horizontal="center" vertical="center"/>
      <protection/>
    </xf>
    <xf numFmtId="179" fontId="8" fillId="6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8" fillId="0" borderId="0" xfId="23" applyFont="1" applyAlignment="1" applyProtection="1">
      <alignment horizontal="center" vertical="center"/>
      <protection/>
    </xf>
    <xf numFmtId="182" fontId="35" fillId="5" borderId="55" xfId="23" applyNumberFormat="1" applyFont="1" applyFill="1" applyBorder="1" applyAlignment="1" applyProtection="1">
      <alignment horizontal="center" vertical="center" shrinkToFit="1"/>
      <protection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109" fillId="0" borderId="3" xfId="0" applyFont="1" applyBorder="1" applyAlignment="1">
      <alignment horizontal="center" vertical="center" wrapText="1"/>
    </xf>
    <xf numFmtId="179" fontId="35" fillId="0" borderId="0" xfId="23" applyNumberFormat="1" applyFont="1" applyBorder="1" applyAlignment="1" applyProtection="1">
      <alignment horizontal="left" vertical="center"/>
      <protection/>
    </xf>
    <xf numFmtId="0" fontId="35" fillId="0" borderId="3" xfId="23" applyNumberFormat="1" applyFont="1" applyBorder="1" applyAlignment="1" applyProtection="1">
      <alignment horizontal="center" vertical="center" shrinkToFit="1"/>
      <protection/>
    </xf>
    <xf numFmtId="0" fontId="51" fillId="0" borderId="3" xfId="0" applyFont="1" applyBorder="1" applyAlignment="1" applyProtection="1">
      <alignment horizontal="center" vertical="center"/>
      <protection/>
    </xf>
    <xf numFmtId="180" fontId="8" fillId="3" borderId="56" xfId="23" applyNumberFormat="1" applyFont="1" applyFill="1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5" fillId="0" borderId="28" xfId="23" applyFont="1" applyBorder="1" applyAlignment="1" applyProtection="1">
      <alignment horizontal="center" vertical="center" shrinkToFit="1"/>
      <protection/>
    </xf>
    <xf numFmtId="0" fontId="5" fillId="0" borderId="0" xfId="23" applyBorder="1" applyAlignment="1" applyProtection="1">
      <alignment vertical="center" wrapText="1"/>
      <protection/>
    </xf>
    <xf numFmtId="0" fontId="8" fillId="0" borderId="3" xfId="23" applyFont="1" applyBorder="1" applyAlignment="1" applyProtection="1">
      <alignment horizontal="center" vertical="center"/>
      <protection/>
    </xf>
    <xf numFmtId="0" fontId="0" fillId="13" borderId="27" xfId="0" applyFill="1" applyBorder="1" applyAlignment="1">
      <alignment vertical="center" wrapText="1"/>
    </xf>
    <xf numFmtId="0" fontId="51" fillId="0" borderId="3" xfId="0" applyFont="1" applyBorder="1" applyAlignment="1" applyProtection="1">
      <alignment vertical="center" shrinkToFit="1"/>
      <protection/>
    </xf>
    <xf numFmtId="0" fontId="2" fillId="0" borderId="3" xfId="21" applyFont="1" applyBorder="1" applyAlignment="1" applyProtection="1">
      <alignment horizontal="center" vertical="center" shrinkToFit="1"/>
      <protection/>
    </xf>
    <xf numFmtId="0" fontId="5" fillId="0" borderId="0" xfId="23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0" borderId="3" xfId="23" applyFont="1" applyBorder="1" applyAlignment="1" applyProtection="1">
      <alignment horizontal="center" vertical="center" shrinkToFit="1"/>
      <protection/>
    </xf>
    <xf numFmtId="179" fontId="8" fillId="0" borderId="43" xfId="23" applyNumberFormat="1" applyFont="1" applyBorder="1" applyAlignment="1" applyProtection="1">
      <alignment horizontal="center" vertical="center" shrinkToFit="1"/>
      <protection/>
    </xf>
    <xf numFmtId="0" fontId="8" fillId="0" borderId="15" xfId="23" applyFont="1" applyBorder="1" applyAlignment="1" applyProtection="1">
      <alignment horizontal="center" vertical="center" shrinkToFit="1"/>
      <protection/>
    </xf>
    <xf numFmtId="0" fontId="8" fillId="0" borderId="3" xfId="23" applyFont="1" applyFill="1" applyBorder="1" applyAlignment="1" applyProtection="1">
      <alignment horizontal="center" vertical="center" shrinkToFit="1"/>
      <protection locked="0"/>
    </xf>
    <xf numFmtId="0" fontId="51" fillId="7" borderId="4" xfId="0" applyFont="1" applyFill="1" applyBorder="1" applyAlignment="1" applyProtection="1">
      <alignment horizontal="center" vertical="center"/>
      <protection/>
    </xf>
    <xf numFmtId="0" fontId="51" fillId="7" borderId="4" xfId="0" applyFont="1" applyFill="1" applyBorder="1" applyAlignment="1" applyProtection="1">
      <alignment horizontal="left" vertical="center"/>
      <protection/>
    </xf>
    <xf numFmtId="0" fontId="0" fillId="0" borderId="27" xfId="0" applyFill="1" applyBorder="1" applyAlignment="1">
      <alignment vertical="center" wrapText="1"/>
    </xf>
    <xf numFmtId="0" fontId="5" fillId="0" borderId="57" xfId="23" applyBorder="1" applyAlignment="1" applyProtection="1">
      <alignment horizontal="center" vertical="center" wrapText="1"/>
      <protection/>
    </xf>
    <xf numFmtId="0" fontId="48" fillId="0" borderId="3" xfId="23" applyFont="1" applyBorder="1" applyAlignment="1" applyProtection="1">
      <alignment horizontal="center" vertical="center"/>
      <protection/>
    </xf>
    <xf numFmtId="0" fontId="48" fillId="0" borderId="3" xfId="23" applyFont="1" applyBorder="1" applyAlignment="1" applyProtection="1">
      <alignment vertical="center"/>
      <protection/>
    </xf>
    <xf numFmtId="179" fontId="66" fillId="0" borderId="0" xfId="0" applyNumberFormat="1" applyFont="1" applyAlignment="1" applyProtection="1">
      <alignment vertical="center"/>
      <protection/>
    </xf>
    <xf numFmtId="0" fontId="8" fillId="3" borderId="58" xfId="23" applyFont="1" applyFill="1" applyBorder="1" applyAlignment="1" applyProtection="1">
      <alignment horizontal="center" vertical="center"/>
      <protection/>
    </xf>
    <xf numFmtId="0" fontId="8" fillId="3" borderId="58" xfId="23" applyFont="1" applyFill="1" applyBorder="1" applyAlignment="1" applyProtection="1">
      <alignment vertical="center" shrinkToFit="1"/>
      <protection/>
    </xf>
    <xf numFmtId="0" fontId="30" fillId="14" borderId="52" xfId="0" applyFont="1" applyFill="1" applyBorder="1" applyAlignment="1">
      <alignment horizontal="center" vertical="center"/>
    </xf>
    <xf numFmtId="0" fontId="8" fillId="0" borderId="59" xfId="23" applyFont="1" applyBorder="1" applyAlignment="1" applyProtection="1">
      <alignment horizontal="center" vertical="center"/>
      <protection/>
    </xf>
    <xf numFmtId="179" fontId="35" fillId="0" borderId="16" xfId="23" applyNumberFormat="1" applyFont="1" applyBorder="1" applyAlignment="1" applyProtection="1">
      <alignment horizontal="center" vertical="center" shrinkToFit="1"/>
      <protection/>
    </xf>
    <xf numFmtId="179" fontId="35" fillId="0" borderId="59" xfId="23" applyNumberFormat="1" applyFont="1" applyBorder="1" applyAlignment="1" applyProtection="1">
      <alignment horizontal="center" vertical="center" shrinkToFit="1"/>
      <protection/>
    </xf>
    <xf numFmtId="190" fontId="8" fillId="0" borderId="3" xfId="23" applyNumberFormat="1" applyFont="1" applyBorder="1" applyAlignment="1" applyProtection="1">
      <alignment horizontal="center" vertical="center" shrinkToFit="1"/>
      <protection/>
    </xf>
    <xf numFmtId="0" fontId="33" fillId="7" borderId="31" xfId="0" applyFont="1" applyFill="1" applyBorder="1" applyAlignment="1" applyProtection="1">
      <alignment vertical="center"/>
      <protection/>
    </xf>
    <xf numFmtId="0" fontId="53" fillId="0" borderId="0" xfId="23" applyFont="1" applyAlignment="1" applyProtection="1">
      <alignment vertical="center"/>
      <protection/>
    </xf>
    <xf numFmtId="188" fontId="48" fillId="0" borderId="3" xfId="23" applyNumberFormat="1" applyFont="1" applyBorder="1" applyAlignment="1" applyProtection="1">
      <alignment horizontal="center" vertical="center"/>
      <protection/>
    </xf>
    <xf numFmtId="190" fontId="48" fillId="0" borderId="3" xfId="23" applyNumberFormat="1" applyFont="1" applyBorder="1" applyAlignment="1" applyProtection="1">
      <alignment horizontal="center" vertical="center" shrinkToFit="1"/>
      <protection/>
    </xf>
    <xf numFmtId="188" fontId="48" fillId="0" borderId="3" xfId="23" applyNumberFormat="1" applyFont="1" applyBorder="1" applyAlignment="1" applyProtection="1" quotePrefix="1">
      <alignment horizontal="center" vertical="center"/>
      <protection/>
    </xf>
    <xf numFmtId="0" fontId="8" fillId="0" borderId="35" xfId="23" applyFont="1" applyBorder="1" applyAlignment="1" applyProtection="1">
      <alignment vertical="center" wrapText="1"/>
      <protection/>
    </xf>
    <xf numFmtId="0" fontId="8" fillId="0" borderId="36" xfId="23" applyFont="1" applyBorder="1" applyAlignment="1" applyProtection="1">
      <alignment vertical="center" wrapText="1"/>
      <protection/>
    </xf>
    <xf numFmtId="0" fontId="8" fillId="0" borderId="36" xfId="23" applyFont="1" applyBorder="1" applyAlignment="1" applyProtection="1">
      <alignment vertical="center" shrinkToFit="1"/>
      <protection/>
    </xf>
    <xf numFmtId="179" fontId="8" fillId="0" borderId="37" xfId="23" applyNumberFormat="1" applyFont="1" applyBorder="1" applyAlignment="1" applyProtection="1">
      <alignment horizontal="center" vertical="center" shrinkToFit="1"/>
      <protection/>
    </xf>
    <xf numFmtId="0" fontId="8" fillId="0" borderId="0" xfId="23" applyFont="1" applyBorder="1" applyAlignment="1" applyProtection="1">
      <alignment vertical="center" wrapText="1"/>
      <protection/>
    </xf>
    <xf numFmtId="0" fontId="8" fillId="0" borderId="0" xfId="23" applyFont="1" applyBorder="1" applyAlignment="1" applyProtection="1">
      <alignment vertical="center" shrinkToFit="1"/>
      <protection/>
    </xf>
    <xf numFmtId="179" fontId="8" fillId="0" borderId="28" xfId="23" applyNumberFormat="1" applyFont="1" applyBorder="1" applyAlignment="1" applyProtection="1">
      <alignment horizontal="center" vertical="center" shrinkToFit="1"/>
      <protection/>
    </xf>
    <xf numFmtId="0" fontId="5" fillId="0" borderId="0" xfId="23" applyFont="1" applyBorder="1" applyAlignment="1" applyProtection="1">
      <alignment vertical="center" wrapText="1"/>
      <protection/>
    </xf>
    <xf numFmtId="0" fontId="8" fillId="0" borderId="15" xfId="23" applyFont="1" applyBorder="1" applyAlignment="1" applyProtection="1">
      <alignment horizontal="center" vertical="center" wrapText="1"/>
      <protection/>
    </xf>
    <xf numFmtId="0" fontId="8" fillId="7" borderId="60" xfId="23" applyFont="1" applyFill="1" applyBorder="1" applyAlignment="1" applyProtection="1">
      <alignment horizontal="center" vertical="center" wrapText="1"/>
      <protection locked="0"/>
    </xf>
    <xf numFmtId="0" fontId="8" fillId="7" borderId="61" xfId="23" applyFont="1" applyFill="1" applyBorder="1" applyAlignment="1" applyProtection="1">
      <alignment horizontal="center" vertical="center" wrapText="1"/>
      <protection locked="0"/>
    </xf>
    <xf numFmtId="0" fontId="19" fillId="0" borderId="20" xfId="23" applyFont="1" applyFill="1" applyBorder="1" applyAlignment="1" applyProtection="1">
      <alignment horizontal="center" vertical="center" wrapText="1"/>
      <protection/>
    </xf>
    <xf numFmtId="179" fontId="48" fillId="0" borderId="3" xfId="23" applyNumberFormat="1" applyFont="1" applyBorder="1" applyAlignment="1" applyProtection="1">
      <alignment horizontal="center" vertical="center"/>
      <protection/>
    </xf>
    <xf numFmtId="0" fontId="48" fillId="0" borderId="62" xfId="23" applyFont="1" applyBorder="1" applyAlignment="1" applyProtection="1">
      <alignment horizontal="center" vertical="center"/>
      <protection/>
    </xf>
    <xf numFmtId="178" fontId="48" fillId="0" borderId="59" xfId="23" applyNumberFormat="1" applyFont="1" applyFill="1" applyBorder="1" applyAlignment="1" applyProtection="1">
      <alignment horizontal="center" vertical="center" shrinkToFit="1"/>
      <protection/>
    </xf>
    <xf numFmtId="178" fontId="48" fillId="0" borderId="29" xfId="23" applyNumberFormat="1" applyFont="1" applyFill="1" applyBorder="1" applyAlignment="1" applyProtection="1">
      <alignment horizontal="center" vertical="center" shrinkToFit="1"/>
      <protection/>
    </xf>
    <xf numFmtId="0" fontId="19" fillId="0" borderId="63" xfId="23" applyFont="1" applyBorder="1" applyAlignment="1" applyProtection="1">
      <alignment horizontal="center" vertical="center" wrapText="1"/>
      <protection/>
    </xf>
    <xf numFmtId="0" fontId="84" fillId="0" borderId="64" xfId="23" applyFont="1" applyFill="1" applyBorder="1" applyAlignment="1" applyProtection="1">
      <alignment horizontal="center" vertical="center" wrapText="1" shrinkToFit="1"/>
      <protection/>
    </xf>
    <xf numFmtId="0" fontId="84" fillId="0" borderId="65" xfId="23" applyFont="1" applyFill="1" applyBorder="1" applyAlignment="1" applyProtection="1">
      <alignment horizontal="center" vertical="center" wrapText="1" shrinkToFit="1"/>
      <protection/>
    </xf>
    <xf numFmtId="0" fontId="111" fillId="0" borderId="50" xfId="23" applyFont="1" applyBorder="1" applyAlignment="1" applyProtection="1">
      <alignment horizontal="center" vertical="center" wrapText="1"/>
      <protection/>
    </xf>
    <xf numFmtId="0" fontId="5" fillId="0" borderId="3" xfId="23" applyBorder="1" applyAlignment="1" applyProtection="1">
      <alignment horizontal="center" vertical="center"/>
      <protection/>
    </xf>
    <xf numFmtId="199" fontId="51" fillId="0" borderId="3" xfId="0" applyNumberFormat="1" applyFont="1" applyBorder="1" applyAlignment="1" applyProtection="1">
      <alignment horizontal="center" vertical="center"/>
      <protection/>
    </xf>
    <xf numFmtId="0" fontId="89" fillId="2" borderId="0" xfId="0" applyFont="1" applyFill="1" applyAlignment="1" applyProtection="1">
      <alignment horizontal="left" vertical="center"/>
      <protection/>
    </xf>
    <xf numFmtId="0" fontId="38" fillId="0" borderId="31" xfId="0" applyFont="1" applyBorder="1" applyAlignment="1" applyProtection="1">
      <alignment vertical="top" wrapText="1"/>
      <protection/>
    </xf>
    <xf numFmtId="0" fontId="38" fillId="0" borderId="0" xfId="0" applyFont="1" applyBorder="1" applyAlignment="1" applyProtection="1">
      <alignment vertical="top" wrapText="1"/>
      <protection/>
    </xf>
    <xf numFmtId="0" fontId="38" fillId="0" borderId="28" xfId="0" applyFont="1" applyBorder="1" applyAlignment="1" applyProtection="1">
      <alignment vertical="top" wrapText="1"/>
      <protection/>
    </xf>
    <xf numFmtId="0" fontId="38" fillId="0" borderId="34" xfId="0" applyFont="1" applyBorder="1" applyAlignment="1" applyProtection="1">
      <alignment vertical="top" wrapText="1"/>
      <protection/>
    </xf>
    <xf numFmtId="0" fontId="64" fillId="0" borderId="0" xfId="0" applyFont="1" applyFill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15" borderId="4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45" fillId="12" borderId="4" xfId="0" applyFont="1" applyFill="1" applyBorder="1" applyAlignment="1">
      <alignment horizontal="center" vertical="center" wrapText="1"/>
    </xf>
    <xf numFmtId="0" fontId="45" fillId="12" borderId="26" xfId="0" applyFont="1" applyFill="1" applyBorder="1" applyAlignment="1">
      <alignment horizontal="center" vertical="center" wrapText="1"/>
    </xf>
    <xf numFmtId="0" fontId="45" fillId="15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9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10" xfId="0" applyFont="1" applyFill="1" applyBorder="1" applyAlignment="1">
      <alignment horizontal="center" vertical="center" wrapText="1"/>
    </xf>
    <xf numFmtId="0" fontId="45" fillId="12" borderId="4" xfId="0" applyFont="1" applyFill="1" applyBorder="1" applyAlignment="1" quotePrefix="1">
      <alignment horizontal="center" vertical="center" wrapText="1"/>
    </xf>
    <xf numFmtId="0" fontId="45" fillId="12" borderId="26" xfId="0" applyFont="1" applyFill="1" applyBorder="1" applyAlignment="1" quotePrefix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86" fontId="0" fillId="0" borderId="23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9" fontId="70" fillId="0" borderId="3" xfId="0" applyNumberFormat="1" applyFont="1" applyFill="1" applyBorder="1" applyAlignment="1" applyProtection="1">
      <alignment horizontal="left" vertical="center" wrapText="1"/>
      <protection/>
    </xf>
    <xf numFmtId="0" fontId="118" fillId="4" borderId="13" xfId="23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right" vertical="center" shrinkToFit="1"/>
    </xf>
    <xf numFmtId="0" fontId="5" fillId="0" borderId="26" xfId="23" applyBorder="1" applyAlignment="1" applyProtection="1">
      <alignment horizontal="center" vertical="center"/>
      <protection/>
    </xf>
    <xf numFmtId="0" fontId="5" fillId="0" borderId="57" xfId="23" applyBorder="1" applyAlignment="1" applyProtection="1">
      <alignment horizontal="center" vertical="center"/>
      <protection/>
    </xf>
    <xf numFmtId="0" fontId="45" fillId="12" borderId="68" xfId="0" applyFont="1" applyFill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8" fillId="0" borderId="26" xfId="23" applyFont="1" applyBorder="1" applyAlignment="1" applyProtection="1">
      <alignment horizontal="center" vertical="center"/>
      <protection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12" borderId="26" xfId="0" applyFont="1" applyFill="1" applyBorder="1" applyAlignment="1">
      <alignment horizontal="center" vertical="center" wrapText="1"/>
    </xf>
    <xf numFmtId="0" fontId="25" fillId="12" borderId="23" xfId="0" applyFont="1" applyFill="1" applyBorder="1" applyAlignment="1">
      <alignment horizontal="center" vertical="center" wrapText="1"/>
    </xf>
    <xf numFmtId="0" fontId="25" fillId="12" borderId="24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5" fillId="12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 shrinkToFit="1"/>
    </xf>
    <xf numFmtId="0" fontId="25" fillId="15" borderId="3" xfId="0" applyFont="1" applyFill="1" applyBorder="1" applyAlignment="1">
      <alignment horizontal="center" vertical="center" wrapText="1" shrinkToFit="1"/>
    </xf>
    <xf numFmtId="0" fontId="25" fillId="15" borderId="23" xfId="0" applyFont="1" applyFill="1" applyBorder="1" applyAlignment="1">
      <alignment horizontal="center" vertical="center" wrapText="1" shrinkToFit="1"/>
    </xf>
    <xf numFmtId="192" fontId="25" fillId="12" borderId="26" xfId="0" applyNumberFormat="1" applyFont="1" applyFill="1" applyBorder="1" applyAlignment="1">
      <alignment horizontal="center" vertical="center" wrapText="1"/>
    </xf>
    <xf numFmtId="192" fontId="25" fillId="12" borderId="3" xfId="0" applyNumberFormat="1" applyFont="1" applyFill="1" applyBorder="1" applyAlignment="1">
      <alignment horizontal="center" vertical="center" wrapText="1"/>
    </xf>
    <xf numFmtId="0" fontId="25" fillId="12" borderId="4" xfId="0" applyFont="1" applyFill="1" applyBorder="1" applyAlignment="1">
      <alignment horizontal="center" vertical="center" wrapText="1"/>
    </xf>
    <xf numFmtId="192" fontId="25" fillId="15" borderId="10" xfId="0" applyNumberFormat="1" applyFont="1" applyFill="1" applyBorder="1" applyAlignment="1">
      <alignment horizontal="center" vertical="center" wrapText="1"/>
    </xf>
    <xf numFmtId="192" fontId="25" fillId="15" borderId="3" xfId="0" applyNumberFormat="1" applyFont="1" applyFill="1" applyBorder="1" applyAlignment="1">
      <alignment horizontal="center" vertical="center" wrapText="1"/>
    </xf>
    <xf numFmtId="0" fontId="25" fillId="15" borderId="23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/>
    </xf>
    <xf numFmtId="0" fontId="25" fillId="15" borderId="26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2" borderId="3" xfId="0" applyFont="1" applyFill="1" applyBorder="1" applyAlignment="1">
      <alignment horizontal="center" vertical="center" wrapText="1" shrinkToFit="1"/>
    </xf>
    <xf numFmtId="0" fontId="0" fillId="12" borderId="10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192" fontId="25" fillId="15" borderId="23" xfId="0" applyNumberFormat="1" applyFont="1" applyFill="1" applyBorder="1" applyAlignment="1">
      <alignment horizontal="center" vertical="center" wrapText="1"/>
    </xf>
    <xf numFmtId="192" fontId="25" fillId="12" borderId="4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 shrinkToFit="1"/>
    </xf>
    <xf numFmtId="0" fontId="0" fillId="12" borderId="3" xfId="0" applyFill="1" applyBorder="1" applyAlignment="1">
      <alignment horizontal="center" vertical="center" wrapText="1" shrinkToFit="1"/>
    </xf>
    <xf numFmtId="0" fontId="0" fillId="12" borderId="23" xfId="0" applyFill="1" applyBorder="1" applyAlignment="1">
      <alignment horizontal="center" vertical="center" wrapText="1" shrinkToFit="1"/>
    </xf>
    <xf numFmtId="0" fontId="0" fillId="15" borderId="26" xfId="0" applyFill="1" applyBorder="1" applyAlignment="1">
      <alignment horizontal="center" vertical="center" wrapText="1" shrinkToFit="1"/>
    </xf>
    <xf numFmtId="0" fontId="0" fillId="15" borderId="3" xfId="0" applyFill="1" applyBorder="1" applyAlignment="1">
      <alignment horizontal="center" vertical="center" wrapText="1" shrinkToFit="1"/>
    </xf>
    <xf numFmtId="0" fontId="0" fillId="15" borderId="4" xfId="0" applyFill="1" applyBorder="1" applyAlignment="1">
      <alignment horizontal="center" vertical="center" wrapText="1" shrinkToFit="1"/>
    </xf>
    <xf numFmtId="0" fontId="0" fillId="15" borderId="23" xfId="0" applyFill="1" applyBorder="1" applyAlignment="1">
      <alignment horizontal="center" vertical="center" wrapText="1" shrinkToFit="1"/>
    </xf>
    <xf numFmtId="0" fontId="0" fillId="0" borderId="6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5" fillId="12" borderId="68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 vertical="center" wrapText="1"/>
    </xf>
    <xf numFmtId="0" fontId="25" fillId="12" borderId="70" xfId="0" applyFont="1" applyFill="1" applyBorder="1" applyAlignment="1">
      <alignment horizontal="center" vertical="center" wrapText="1"/>
    </xf>
    <xf numFmtId="0" fontId="49" fillId="4" borderId="3" xfId="0" applyFont="1" applyFill="1" applyBorder="1" applyAlignment="1" applyProtection="1">
      <alignment horizontal="center" vertical="center" shrinkToFit="1"/>
      <protection/>
    </xf>
    <xf numFmtId="0" fontId="49" fillId="4" borderId="3" xfId="0" applyFont="1" applyFill="1" applyBorder="1" applyAlignment="1" applyProtection="1">
      <alignment horizontal="center" vertical="center"/>
      <protection/>
    </xf>
    <xf numFmtId="0" fontId="51" fillId="0" borderId="3" xfId="0" applyFont="1" applyBorder="1" applyAlignment="1" applyProtection="1">
      <alignment vertical="center"/>
      <protection/>
    </xf>
    <xf numFmtId="0" fontId="91" fillId="0" borderId="0" xfId="25" applyAlignment="1" applyProtection="1">
      <alignment horizontal="left" vertical="center"/>
      <protection/>
    </xf>
    <xf numFmtId="0" fontId="66" fillId="0" borderId="0" xfId="0" applyFont="1" applyAlignment="1" applyProtection="1" quotePrefix="1">
      <alignment vertical="center"/>
      <protection/>
    </xf>
    <xf numFmtId="0" fontId="11" fillId="0" borderId="71" xfId="23" applyFont="1" applyFill="1" applyBorder="1" applyAlignment="1" applyProtection="1">
      <alignment horizontal="center" vertical="center" shrinkToFit="1"/>
      <protection/>
    </xf>
    <xf numFmtId="0" fontId="84" fillId="7" borderId="72" xfId="23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23" applyFont="1" applyFill="1" applyBorder="1" applyAlignment="1" applyProtection="1">
      <alignment horizontal="center" vertical="center"/>
      <protection/>
    </xf>
    <xf numFmtId="179" fontId="8" fillId="14" borderId="33" xfId="23" applyNumberFormat="1" applyFont="1" applyFill="1" applyBorder="1" applyAlignment="1" applyProtection="1">
      <alignment horizontal="center" vertical="center" shrinkToFit="1"/>
      <protection/>
    </xf>
    <xf numFmtId="182" fontId="8" fillId="5" borderId="16" xfId="23" applyNumberFormat="1" applyFont="1" applyFill="1" applyBorder="1" applyAlignment="1" applyProtection="1">
      <alignment horizontal="center" vertical="center"/>
      <protection/>
    </xf>
    <xf numFmtId="0" fontId="8" fillId="0" borderId="73" xfId="23" applyFont="1" applyBorder="1" applyAlignment="1" applyProtection="1">
      <alignment horizontal="center" vertical="center" shrinkToFit="1"/>
      <protection/>
    </xf>
    <xf numFmtId="0" fontId="8" fillId="0" borderId="74" xfId="23" applyFont="1" applyBorder="1" applyAlignment="1" applyProtection="1">
      <alignment horizontal="center" vertical="center" shrinkToFit="1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vertical="center" wrapText="1"/>
      <protection/>
    </xf>
    <xf numFmtId="0" fontId="48" fillId="0" borderId="75" xfId="23" applyFont="1" applyBorder="1" applyAlignment="1" applyProtection="1">
      <alignment horizontal="center" vertical="center" shrinkToFit="1"/>
      <protection/>
    </xf>
    <xf numFmtId="0" fontId="48" fillId="0" borderId="76" xfId="23" applyFont="1" applyBorder="1" applyAlignment="1" applyProtection="1">
      <alignment horizontal="center" vertical="center" shrinkToFit="1"/>
      <protection/>
    </xf>
    <xf numFmtId="0" fontId="48" fillId="3" borderId="68" xfId="23" applyFont="1" applyFill="1" applyBorder="1" applyAlignment="1" applyProtection="1">
      <alignment horizontal="center" vertical="center" wrapText="1"/>
      <protection/>
    </xf>
    <xf numFmtId="0" fontId="48" fillId="0" borderId="69" xfId="23" applyNumberFormat="1" applyFont="1" applyBorder="1" applyAlignment="1" applyProtection="1">
      <alignment horizontal="center" vertical="center" shrinkToFit="1"/>
      <protection/>
    </xf>
    <xf numFmtId="0" fontId="48" fillId="0" borderId="43" xfId="23" applyNumberFormat="1" applyFont="1" applyBorder="1" applyAlignment="1" applyProtection="1">
      <alignment horizontal="center" vertical="center" shrinkToFit="1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77" xfId="0" applyFont="1" applyBorder="1" applyAlignment="1" applyProtection="1">
      <alignment vertical="center"/>
      <protection/>
    </xf>
    <xf numFmtId="0" fontId="49" fillId="0" borderId="3" xfId="0" applyFont="1" applyBorder="1" applyAlignment="1" applyProtection="1">
      <alignment horizontal="center" vertical="center" wrapText="1"/>
      <protection/>
    </xf>
    <xf numFmtId="0" fontId="51" fillId="15" borderId="3" xfId="0" applyFont="1" applyFill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8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8" fillId="0" borderId="53" xfId="23" applyNumberFormat="1" applyFont="1" applyFill="1" applyBorder="1" applyAlignment="1" applyProtection="1">
      <alignment horizontal="center" vertical="center" shrinkToFit="1"/>
      <protection locked="0"/>
    </xf>
    <xf numFmtId="0" fontId="8" fillId="0" borderId="3" xfId="23" applyNumberFormat="1" applyFont="1" applyBorder="1" applyAlignment="1" applyProtection="1">
      <alignment horizontal="center" vertical="center" shrinkToFit="1"/>
      <protection/>
    </xf>
    <xf numFmtId="0" fontId="48" fillId="0" borderId="3" xfId="23" applyFont="1" applyBorder="1" applyAlignment="1" applyProtection="1">
      <alignment horizontal="center" vertical="center" shrinkToFit="1"/>
      <protection/>
    </xf>
    <xf numFmtId="203" fontId="48" fillId="0" borderId="3" xfId="23" applyNumberFormat="1" applyFont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vertical="center" shrinkToFit="1"/>
    </xf>
    <xf numFmtId="0" fontId="5" fillId="0" borderId="0" xfId="23" applyBorder="1" applyAlignment="1" applyProtection="1">
      <alignment horizontal="center" vertical="center" wrapText="1"/>
      <protection/>
    </xf>
    <xf numFmtId="0" fontId="48" fillId="0" borderId="50" xfId="23" applyFont="1" applyBorder="1" applyAlignment="1" applyProtection="1">
      <alignment horizontal="center" vertical="center" wrapText="1"/>
      <protection/>
    </xf>
    <xf numFmtId="0" fontId="48" fillId="0" borderId="78" xfId="23" applyFont="1" applyBorder="1" applyAlignment="1" applyProtection="1">
      <alignment horizontal="center" vertical="center" wrapText="1"/>
      <protection/>
    </xf>
    <xf numFmtId="0" fontId="5" fillId="0" borderId="3" xfId="23" applyBorder="1" applyAlignment="1" applyProtection="1">
      <alignment vertical="center" wrapText="1"/>
      <protection/>
    </xf>
    <xf numFmtId="0" fontId="5" fillId="0" borderId="0" xfId="23" applyBorder="1" applyAlignment="1" applyProtection="1">
      <alignment vertical="center"/>
      <protection/>
    </xf>
    <xf numFmtId="192" fontId="25" fillId="15" borderId="26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177" fontId="8" fillId="0" borderId="3" xfId="23" applyNumberFormat="1" applyFont="1" applyBorder="1" applyAlignment="1" applyProtection="1">
      <alignment horizontal="center" vertical="center" wrapText="1"/>
      <protection/>
    </xf>
    <xf numFmtId="0" fontId="8" fillId="0" borderId="3" xfId="23" applyFont="1" applyBorder="1" applyAlignment="1" applyProtection="1">
      <alignment vertical="center" wrapText="1"/>
      <protection/>
    </xf>
    <xf numFmtId="0" fontId="8" fillId="0" borderId="23" xfId="23" applyFont="1" applyBorder="1" applyAlignment="1" applyProtection="1">
      <alignment horizontal="center" vertical="center" shrinkToFit="1"/>
      <protection/>
    </xf>
    <xf numFmtId="0" fontId="83" fillId="0" borderId="13" xfId="23" applyFont="1" applyFill="1" applyBorder="1" applyAlignment="1" applyProtection="1">
      <alignment horizontal="center" vertical="center" shrinkToFit="1"/>
      <protection/>
    </xf>
    <xf numFmtId="0" fontId="19" fillId="0" borderId="13" xfId="23" applyFont="1" applyFill="1" applyBorder="1" applyAlignment="1" applyProtection="1">
      <alignment horizontal="center" vertical="center" shrinkToFit="1"/>
      <protection/>
    </xf>
    <xf numFmtId="0" fontId="8" fillId="7" borderId="43" xfId="23" applyFont="1" applyFill="1" applyBorder="1" applyAlignment="1" applyProtection="1">
      <alignment horizontal="center" vertical="center" wrapText="1"/>
      <protection locked="0"/>
    </xf>
    <xf numFmtId="0" fontId="5" fillId="0" borderId="28" xfId="23" applyFont="1" applyBorder="1" applyAlignment="1" applyProtection="1">
      <alignment horizontal="center" shrinkToFit="1"/>
      <protection/>
    </xf>
    <xf numFmtId="177" fontId="18" fillId="0" borderId="36" xfId="23" applyNumberFormat="1" applyFont="1" applyFill="1" applyBorder="1" applyAlignment="1" applyProtection="1">
      <alignment vertical="center" wrapText="1"/>
      <protection/>
    </xf>
    <xf numFmtId="0" fontId="8" fillId="0" borderId="13" xfId="23" applyFont="1" applyBorder="1" applyAlignment="1" applyProtection="1">
      <alignment wrapText="1"/>
      <protection/>
    </xf>
    <xf numFmtId="0" fontId="48" fillId="0" borderId="33" xfId="23" applyNumberFormat="1" applyFont="1" applyFill="1" applyBorder="1" applyAlignment="1" applyProtection="1">
      <alignment horizontal="center" vertical="center" wrapText="1"/>
      <protection/>
    </xf>
    <xf numFmtId="0" fontId="35" fillId="0" borderId="0" xfId="23" applyNumberFormat="1" applyFont="1" applyFill="1" applyBorder="1" applyAlignment="1" applyProtection="1">
      <alignment horizontal="center" vertical="center" wrapText="1"/>
      <protection/>
    </xf>
    <xf numFmtId="205" fontId="48" fillId="0" borderId="0" xfId="23" applyNumberFormat="1" applyFont="1" applyBorder="1" applyAlignment="1" applyProtection="1">
      <alignment vertical="center" wrapText="1"/>
      <protection/>
    </xf>
    <xf numFmtId="205" fontId="48" fillId="0" borderId="0" xfId="23" applyNumberFormat="1" applyFont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center" vertical="center" shrinkToFit="1"/>
      <protection/>
    </xf>
    <xf numFmtId="0" fontId="48" fillId="3" borderId="0" xfId="23" applyNumberFormat="1" applyFont="1" applyFill="1" applyBorder="1" applyAlignment="1" applyProtection="1">
      <alignment horizontal="center" vertical="center" shrinkToFit="1"/>
      <protection/>
    </xf>
    <xf numFmtId="0" fontId="84" fillId="0" borderId="33" xfId="23" applyFont="1" applyFill="1" applyBorder="1" applyAlignment="1" applyProtection="1">
      <alignment horizontal="center" vertical="center" wrapText="1" shrinkToFit="1"/>
      <protection/>
    </xf>
    <xf numFmtId="0" fontId="84" fillId="0" borderId="33" xfId="23" applyFont="1" applyFill="1" applyBorder="1" applyAlignment="1" applyProtection="1">
      <alignment horizontal="center" vertical="center" shrinkToFit="1"/>
      <protection/>
    </xf>
    <xf numFmtId="0" fontId="5" fillId="0" borderId="0" xfId="23" applyFont="1" applyBorder="1" applyAlignment="1" applyProtection="1">
      <alignment vertical="center"/>
      <protection/>
    </xf>
    <xf numFmtId="0" fontId="48" fillId="3" borderId="0" xfId="23" applyFont="1" applyFill="1" applyBorder="1" applyAlignment="1" applyProtection="1">
      <alignment horizontal="center" vertical="center" wrapText="1"/>
      <protection/>
    </xf>
    <xf numFmtId="0" fontId="48" fillId="0" borderId="0" xfId="23" applyNumberFormat="1" applyFont="1" applyBorder="1" applyAlignment="1" applyProtection="1">
      <alignment horizontal="center" vertical="center" shrinkToFit="1"/>
      <protection/>
    </xf>
    <xf numFmtId="0" fontId="48" fillId="4" borderId="75" xfId="23" applyFont="1" applyFill="1" applyBorder="1" applyAlignment="1" applyProtection="1">
      <alignment horizontal="center" vertical="center" wrapText="1"/>
      <protection/>
    </xf>
    <xf numFmtId="200" fontId="48" fillId="4" borderId="76" xfId="23" applyNumberFormat="1" applyFont="1" applyFill="1" applyBorder="1" applyAlignment="1" applyProtection="1">
      <alignment horizontal="center" vertical="center" shrinkToFit="1"/>
      <protection/>
    </xf>
    <xf numFmtId="0" fontId="121" fillId="0" borderId="0" xfId="0" applyFont="1" applyAlignment="1">
      <alignment vertical="center"/>
    </xf>
    <xf numFmtId="0" fontId="51" fillId="0" borderId="4" xfId="0" applyFont="1" applyBorder="1" applyAlignment="1" applyProtection="1">
      <alignment horizontal="center" vertical="center" wrapText="1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4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197" fontId="44" fillId="7" borderId="72" xfId="0" applyNumberFormat="1" applyFont="1" applyFill="1" applyBorder="1" applyAlignment="1" applyProtection="1" quotePrefix="1">
      <alignment horizontal="center" vertical="center" wrapText="1"/>
      <protection locked="0"/>
    </xf>
    <xf numFmtId="0" fontId="51" fillId="0" borderId="49" xfId="0" applyFont="1" applyBorder="1" applyAlignment="1" applyProtection="1">
      <alignment vertical="center"/>
      <protection/>
    </xf>
    <xf numFmtId="0" fontId="51" fillId="0" borderId="53" xfId="0" applyFont="1" applyBorder="1" applyAlignment="1" applyProtection="1">
      <alignment horizontal="center" wrapText="1"/>
      <protection/>
    </xf>
    <xf numFmtId="0" fontId="51" fillId="0" borderId="53" xfId="0" applyFont="1" applyBorder="1" applyAlignment="1" applyProtection="1">
      <alignment horizontal="center"/>
      <protection/>
    </xf>
    <xf numFmtId="0" fontId="51" fillId="0" borderId="4" xfId="0" applyFont="1" applyBorder="1" applyAlignment="1" applyProtection="1">
      <alignment horizontal="center" vertical="center" shrinkToFit="1"/>
      <protection/>
    </xf>
    <xf numFmtId="0" fontId="51" fillId="0" borderId="79" xfId="0" applyNumberFormat="1" applyFont="1" applyFill="1" applyBorder="1" applyAlignment="1" applyProtection="1">
      <alignment horizontal="center" vertical="center" wrapText="1"/>
      <protection/>
    </xf>
    <xf numFmtId="0" fontId="51" fillId="0" borderId="31" xfId="0" applyNumberFormat="1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vertical="center"/>
      <protection/>
    </xf>
    <xf numFmtId="0" fontId="51" fillId="0" borderId="51" xfId="0" applyFont="1" applyBorder="1" applyAlignment="1" applyProtection="1">
      <alignment vertical="center" wrapText="1"/>
      <protection/>
    </xf>
    <xf numFmtId="0" fontId="51" fillId="0" borderId="4" xfId="0" applyFont="1" applyBorder="1" applyAlignment="1" applyProtection="1">
      <alignment vertical="center"/>
      <protection/>
    </xf>
    <xf numFmtId="0" fontId="90" fillId="0" borderId="31" xfId="0" applyNumberFormat="1" applyFont="1" applyBorder="1" applyAlignment="1">
      <alignment vertical="center"/>
    </xf>
    <xf numFmtId="0" fontId="90" fillId="0" borderId="0" xfId="0" applyNumberFormat="1" applyFont="1" applyBorder="1" applyAlignment="1">
      <alignment vertical="center"/>
    </xf>
    <xf numFmtId="0" fontId="90" fillId="0" borderId="31" xfId="0" applyFont="1" applyBorder="1" applyAlignment="1">
      <alignment vertical="center" wrapText="1"/>
    </xf>
    <xf numFmtId="0" fontId="90" fillId="0" borderId="0" xfId="0" applyFont="1" applyBorder="1" applyAlignment="1">
      <alignment vertical="center" wrapText="1"/>
    </xf>
    <xf numFmtId="0" fontId="90" fillId="0" borderId="0" xfId="0" applyFont="1" applyBorder="1" applyAlignment="1">
      <alignment vertical="center"/>
    </xf>
    <xf numFmtId="14" fontId="41" fillId="0" borderId="0" xfId="0" applyNumberFormat="1" applyFont="1" applyAlignment="1">
      <alignment vertical="center"/>
    </xf>
    <xf numFmtId="197" fontId="122" fillId="0" borderId="80" xfId="0" applyNumberFormat="1" applyFont="1" applyFill="1" applyBorder="1" applyAlignment="1" applyProtection="1" quotePrefix="1">
      <alignment horizontal="center" shrinkToFit="1"/>
      <protection/>
    </xf>
    <xf numFmtId="0" fontId="0" fillId="0" borderId="81" xfId="0" applyBorder="1" applyAlignment="1" applyProtection="1">
      <alignment horizontal="centerContinuous" vertical="center"/>
      <protection/>
    </xf>
    <xf numFmtId="0" fontId="0" fillId="0" borderId="82" xfId="0" applyBorder="1" applyAlignment="1" applyProtection="1">
      <alignment horizontal="centerContinuous" vertical="center"/>
      <protection/>
    </xf>
    <xf numFmtId="0" fontId="0" fillId="0" borderId="83" xfId="0" applyBorder="1" applyAlignment="1" applyProtection="1">
      <alignment horizontal="centerContinuous" vertical="center"/>
      <protection/>
    </xf>
    <xf numFmtId="0" fontId="66" fillId="0" borderId="84" xfId="0" applyFont="1" applyBorder="1" applyAlignment="1" applyProtection="1">
      <alignment horizontal="centerContinuous" vertical="center"/>
      <protection/>
    </xf>
    <xf numFmtId="0" fontId="66" fillId="0" borderId="85" xfId="0" applyFont="1" applyBorder="1" applyAlignment="1" applyProtection="1">
      <alignment horizontal="centerContinuous" vertical="center"/>
      <protection/>
    </xf>
    <xf numFmtId="0" fontId="66" fillId="0" borderId="83" xfId="0" applyFont="1" applyBorder="1" applyAlignment="1" applyProtection="1">
      <alignment horizontal="centerContinuous" vertical="center"/>
      <protection/>
    </xf>
    <xf numFmtId="0" fontId="66" fillId="0" borderId="86" xfId="0" applyFont="1" applyBorder="1" applyAlignment="1" applyProtection="1">
      <alignment horizontal="centerContinuous" vertical="center"/>
      <protection/>
    </xf>
    <xf numFmtId="0" fontId="66" fillId="0" borderId="87" xfId="0" applyFont="1" applyBorder="1" applyAlignment="1" applyProtection="1">
      <alignment horizontal="centerContinuous" vertical="center"/>
      <protection/>
    </xf>
    <xf numFmtId="0" fontId="66" fillId="0" borderId="88" xfId="0" applyFont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184" fontId="0" fillId="0" borderId="23" xfId="0" applyNumberFormat="1" applyBorder="1" applyAlignment="1">
      <alignment horizontal="center" vertical="center" shrinkToFit="1"/>
    </xf>
    <xf numFmtId="186" fontId="0" fillId="0" borderId="24" xfId="0" applyNumberFormat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 shrinkToFit="1"/>
    </xf>
    <xf numFmtId="179" fontId="0" fillId="0" borderId="10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4" xfId="0" applyNumberFormat="1" applyBorder="1" applyAlignment="1">
      <alignment horizontal="center" vertical="center" shrinkToFit="1"/>
    </xf>
    <xf numFmtId="184" fontId="0" fillId="0" borderId="10" xfId="0" applyNumberFormat="1" applyBorder="1" applyAlignment="1">
      <alignment horizontal="center" vertical="center" shrinkToFit="1"/>
    </xf>
    <xf numFmtId="184" fontId="0" fillId="0" borderId="3" xfId="0" applyNumberFormat="1" applyBorder="1" applyAlignment="1">
      <alignment horizontal="center" vertical="center" shrinkToFit="1"/>
    </xf>
    <xf numFmtId="184" fontId="0" fillId="0" borderId="26" xfId="0" applyNumberFormat="1" applyBorder="1" applyAlignment="1">
      <alignment horizontal="center" vertical="center" shrinkToFit="1"/>
    </xf>
    <xf numFmtId="184" fontId="0" fillId="0" borderId="4" xfId="0" applyNumberForma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14" fontId="0" fillId="0" borderId="23" xfId="0" applyNumberFormat="1" applyBorder="1" applyAlignment="1">
      <alignment horizontal="center" vertical="center" shrinkToFit="1"/>
    </xf>
    <xf numFmtId="186" fontId="0" fillId="0" borderId="26" xfId="0" applyNumberFormat="1" applyBorder="1" applyAlignment="1">
      <alignment horizontal="center" vertical="center" shrinkToFit="1"/>
    </xf>
    <xf numFmtId="186" fontId="0" fillId="0" borderId="4" xfId="0" applyNumberFormat="1" applyBorder="1" applyAlignment="1">
      <alignment horizontal="center" vertical="center" shrinkToFit="1"/>
    </xf>
    <xf numFmtId="200" fontId="0" fillId="0" borderId="10" xfId="0" applyNumberFormat="1" applyBorder="1" applyAlignment="1">
      <alignment horizontal="center" vertical="center" shrinkToFit="1"/>
    </xf>
    <xf numFmtId="200" fontId="0" fillId="0" borderId="3" xfId="0" applyNumberFormat="1" applyBorder="1" applyAlignment="1">
      <alignment horizontal="center" vertical="center" shrinkToFit="1"/>
    </xf>
    <xf numFmtId="200" fontId="0" fillId="0" borderId="23" xfId="0" applyNumberFormat="1" applyBorder="1" applyAlignment="1">
      <alignment horizontal="center" vertical="center" shrinkToFit="1"/>
    </xf>
    <xf numFmtId="0" fontId="45" fillId="15" borderId="10" xfId="0" applyFont="1" applyFill="1" applyBorder="1" applyAlignment="1">
      <alignment horizontal="center" vertical="center" wrapText="1" shrinkToFit="1"/>
    </xf>
    <xf numFmtId="0" fontId="45" fillId="12" borderId="26" xfId="0" applyFont="1" applyFill="1" applyBorder="1" applyAlignment="1">
      <alignment horizontal="center" vertical="center" wrapText="1" shrinkToFi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1" fillId="0" borderId="3" xfId="0" applyFont="1" applyBorder="1" applyAlignment="1" applyProtection="1">
      <alignment horizontal="center" vertical="center"/>
      <protection/>
    </xf>
    <xf numFmtId="0" fontId="51" fillId="7" borderId="5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177" fontId="8" fillId="0" borderId="36" xfId="23" applyNumberFormat="1" applyFont="1" applyFill="1" applyBorder="1" applyAlignment="1" applyProtection="1">
      <alignment vertical="center" shrinkToFit="1"/>
      <protection/>
    </xf>
    <xf numFmtId="0" fontId="5" fillId="9" borderId="3" xfId="23" applyFill="1" applyBorder="1" applyAlignment="1" applyProtection="1">
      <alignment horizontal="center" vertical="center"/>
      <protection/>
    </xf>
    <xf numFmtId="0" fontId="5" fillId="4" borderId="3" xfId="23" applyFill="1" applyBorder="1" applyAlignment="1" applyProtection="1">
      <alignment horizontal="center" vertical="center"/>
      <protection/>
    </xf>
    <xf numFmtId="0" fontId="91" fillId="0" borderId="0" xfId="25" applyFill="1" applyAlignment="1" applyProtection="1">
      <alignment vertical="center"/>
      <protection/>
    </xf>
    <xf numFmtId="0" fontId="23" fillId="0" borderId="0" xfId="23" applyFont="1" applyBorder="1" applyAlignment="1" applyProtection="1">
      <alignment vertical="center"/>
      <protection/>
    </xf>
    <xf numFmtId="0" fontId="8" fillId="0" borderId="0" xfId="23" applyNumberFormat="1" applyFont="1" applyAlignment="1" applyProtection="1">
      <alignment horizontal="center" vertical="center"/>
      <protection/>
    </xf>
    <xf numFmtId="0" fontId="8" fillId="0" borderId="69" xfId="23" applyFont="1" applyBorder="1" applyAlignment="1" applyProtection="1">
      <alignment horizontal="center" vertical="center" wrapText="1"/>
      <protection/>
    </xf>
    <xf numFmtId="0" fontId="8" fillId="0" borderId="10" xfId="23" applyFont="1" applyBorder="1" applyAlignment="1" applyProtection="1">
      <alignment horizontal="center" vertical="center" wrapText="1"/>
      <protection/>
    </xf>
    <xf numFmtId="0" fontId="8" fillId="3" borderId="3" xfId="23" applyFont="1" applyFill="1" applyBorder="1" applyAlignment="1" applyProtection="1">
      <alignment horizontal="center" vertical="center" wrapText="1"/>
      <protection/>
    </xf>
    <xf numFmtId="0" fontId="8" fillId="9" borderId="3" xfId="23" applyFont="1" applyFill="1" applyBorder="1" applyAlignment="1" applyProtection="1">
      <alignment horizontal="center" vertical="center" wrapText="1"/>
      <protection/>
    </xf>
    <xf numFmtId="0" fontId="8" fillId="0" borderId="3" xfId="23" applyFont="1" applyBorder="1" applyAlignment="1" applyProtection="1">
      <alignment horizontal="center" vertical="center" wrapText="1"/>
      <protection/>
    </xf>
    <xf numFmtId="0" fontId="53" fillId="0" borderId="3" xfId="23" applyFont="1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53" fillId="14" borderId="52" xfId="23" applyFont="1" applyFill="1" applyBorder="1" applyAlignment="1" applyProtection="1">
      <alignment horizontal="center" vertical="center" shrinkToFit="1"/>
      <protection/>
    </xf>
    <xf numFmtId="0" fontId="8" fillId="0" borderId="3" xfId="23" applyFont="1" applyBorder="1" applyAlignment="1" applyProtection="1">
      <alignment horizontal="center" vertical="center"/>
      <protection/>
    </xf>
    <xf numFmtId="0" fontId="8" fillId="0" borderId="71" xfId="23" applyFont="1" applyFill="1" applyBorder="1" applyAlignment="1" applyProtection="1">
      <alignment horizontal="center" vertical="center" wrapText="1"/>
      <protection/>
    </xf>
    <xf numFmtId="0" fontId="5" fillId="0" borderId="54" xfId="23" applyFont="1" applyFill="1" applyBorder="1" applyAlignment="1" applyProtection="1">
      <alignment horizontal="center" vertical="center"/>
      <protection/>
    </xf>
    <xf numFmtId="0" fontId="8" fillId="0" borderId="12" xfId="23" applyFont="1" applyBorder="1" applyAlignment="1" applyProtection="1">
      <alignment vertical="center"/>
      <protection/>
    </xf>
    <xf numFmtId="0" fontId="51" fillId="0" borderId="24" xfId="0" applyFont="1" applyFill="1" applyBorder="1" applyAlignment="1" applyProtection="1">
      <alignment vertical="center" shrinkToFit="1"/>
      <protection/>
    </xf>
    <xf numFmtId="0" fontId="48" fillId="0" borderId="0" xfId="23" applyNumberFormat="1" applyFont="1" applyFill="1" applyBorder="1" applyAlignment="1" applyProtection="1">
      <alignment horizontal="center" vertical="center" wrapText="1"/>
      <protection/>
    </xf>
    <xf numFmtId="178" fontId="18" fillId="0" borderId="31" xfId="23" applyNumberFormat="1" applyFont="1" applyFill="1" applyBorder="1" applyAlignment="1" applyProtection="1">
      <alignment vertical="center" wrapText="1" shrinkToFit="1"/>
      <protection/>
    </xf>
    <xf numFmtId="178" fontId="19" fillId="0" borderId="31" xfId="23" applyNumberFormat="1" applyFont="1" applyFill="1" applyBorder="1" applyAlignment="1" applyProtection="1">
      <alignment vertical="center" wrapText="1"/>
      <protection/>
    </xf>
    <xf numFmtId="0" fontId="5" fillId="13" borderId="0" xfId="23" applyFont="1" applyFill="1" applyAlignment="1" applyProtection="1">
      <alignment vertical="center"/>
      <protection/>
    </xf>
    <xf numFmtId="0" fontId="5" fillId="0" borderId="13" xfId="23" applyFont="1" applyBorder="1" applyAlignment="1" applyProtection="1">
      <alignment vertical="center"/>
      <protection/>
    </xf>
    <xf numFmtId="0" fontId="5" fillId="0" borderId="14" xfId="23" applyFont="1" applyBorder="1" applyAlignment="1" applyProtection="1">
      <alignment vertical="center"/>
      <protection/>
    </xf>
    <xf numFmtId="0" fontId="5" fillId="0" borderId="54" xfId="23" applyFont="1" applyBorder="1" applyAlignment="1" applyProtection="1">
      <alignment horizontal="center" vertical="center"/>
      <protection/>
    </xf>
    <xf numFmtId="0" fontId="5" fillId="0" borderId="72" xfId="23" applyFont="1" applyBorder="1" applyAlignment="1" applyProtection="1">
      <alignment vertical="center"/>
      <protection/>
    </xf>
    <xf numFmtId="0" fontId="5" fillId="0" borderId="15" xfId="23" applyFont="1" applyBorder="1" applyAlignment="1" applyProtection="1">
      <alignment horizontal="center" vertical="center"/>
      <protection/>
    </xf>
    <xf numFmtId="0" fontId="5" fillId="0" borderId="59" xfId="23" applyFont="1" applyBorder="1" applyAlignment="1" applyProtection="1">
      <alignment vertical="center"/>
      <protection/>
    </xf>
    <xf numFmtId="0" fontId="5" fillId="0" borderId="29" xfId="23" applyFont="1" applyBorder="1" applyAlignment="1" applyProtection="1">
      <alignment vertical="center"/>
      <protection/>
    </xf>
    <xf numFmtId="0" fontId="5" fillId="6" borderId="3" xfId="23" applyFont="1" applyFill="1" applyBorder="1" applyAlignment="1" applyProtection="1">
      <alignment horizontal="center" vertical="center"/>
      <protection/>
    </xf>
    <xf numFmtId="179" fontId="5" fillId="6" borderId="3" xfId="23" applyNumberFormat="1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>
      <alignment horizontal="left" vertical="center"/>
      <protection/>
    </xf>
    <xf numFmtId="188" fontId="5" fillId="0" borderId="3" xfId="23" applyNumberFormat="1" applyFont="1" applyBorder="1" applyAlignment="1" applyProtection="1">
      <alignment horizontal="center" vertical="center"/>
      <protection/>
    </xf>
    <xf numFmtId="179" fontId="5" fillId="6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3" applyFont="1" applyFill="1" applyAlignment="1" applyProtection="1">
      <alignment horizontal="center" vertical="center"/>
      <protection/>
    </xf>
    <xf numFmtId="0" fontId="5" fillId="0" borderId="0" xfId="23" applyFont="1" applyFill="1" applyAlignment="1" applyProtection="1">
      <alignment vertical="center"/>
      <protection/>
    </xf>
    <xf numFmtId="0" fontId="5" fillId="6" borderId="0" xfId="23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 quotePrefix="1">
      <alignment horizontal="center" vertical="center"/>
      <protection/>
    </xf>
    <xf numFmtId="0" fontId="5" fillId="0" borderId="0" xfId="23" applyNumberFormat="1" applyFont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0" fontId="5" fillId="0" borderId="0" xfId="23" applyNumberFormat="1" applyFont="1" applyBorder="1" applyAlignment="1" applyProtection="1">
      <alignment horizontal="center" vertical="center"/>
      <protection/>
    </xf>
    <xf numFmtId="189" fontId="48" fillId="4" borderId="75" xfId="23" applyNumberFormat="1" applyFont="1" applyFill="1" applyBorder="1" applyAlignment="1" applyProtection="1">
      <alignment horizontal="center" vertical="center" wrapText="1" shrinkToFit="1"/>
      <protection/>
    </xf>
    <xf numFmtId="195" fontId="5" fillId="0" borderId="36" xfId="23" applyNumberFormat="1" applyFont="1" applyBorder="1" applyAlignment="1" applyProtection="1">
      <alignment vertical="center"/>
      <protection/>
    </xf>
    <xf numFmtId="195" fontId="5" fillId="0" borderId="0" xfId="23" applyNumberFormat="1" applyFont="1" applyBorder="1" applyAlignment="1" applyProtection="1">
      <alignment vertical="center"/>
      <protection/>
    </xf>
    <xf numFmtId="179" fontId="8" fillId="9" borderId="3" xfId="23" applyNumberFormat="1" applyFont="1" applyFill="1" applyBorder="1" applyAlignment="1" applyProtection="1">
      <alignment horizontal="center" vertical="center"/>
      <protection/>
    </xf>
    <xf numFmtId="179" fontId="5" fillId="0" borderId="3" xfId="23" applyNumberFormat="1" applyFont="1" applyBorder="1" applyAlignment="1" applyProtection="1">
      <alignment horizontal="center" vertical="center"/>
      <protection/>
    </xf>
    <xf numFmtId="179" fontId="8" fillId="0" borderId="3" xfId="23" applyNumberFormat="1" applyFont="1" applyBorder="1" applyAlignment="1" applyProtection="1">
      <alignment horizontal="center" vertical="center"/>
      <protection/>
    </xf>
    <xf numFmtId="179" fontId="5" fillId="9" borderId="3" xfId="23" applyNumberFormat="1" applyFont="1" applyFill="1" applyBorder="1" applyAlignment="1" applyProtection="1">
      <alignment horizontal="center" vertical="center"/>
      <protection/>
    </xf>
    <xf numFmtId="0" fontId="8" fillId="0" borderId="89" xfId="23" applyFont="1" applyBorder="1" applyAlignment="1" applyProtection="1">
      <alignment vertical="center"/>
      <protection/>
    </xf>
    <xf numFmtId="0" fontId="5" fillId="0" borderId="89" xfId="23" applyFont="1" applyBorder="1" applyAlignment="1" applyProtection="1">
      <alignment vertical="center"/>
      <protection/>
    </xf>
    <xf numFmtId="0" fontId="8" fillId="0" borderId="90" xfId="23" applyFont="1" applyBorder="1" applyAlignment="1" applyProtection="1">
      <alignment vertical="center"/>
      <protection/>
    </xf>
    <xf numFmtId="179" fontId="53" fillId="14" borderId="52" xfId="23" applyNumberFormat="1" applyFont="1" applyFill="1" applyBorder="1" applyAlignment="1" applyProtection="1">
      <alignment horizontal="center" vertical="center" shrinkToFit="1"/>
      <protection/>
    </xf>
    <xf numFmtId="179" fontId="53" fillId="14" borderId="52" xfId="23" applyNumberFormat="1" applyFont="1" applyFill="1" applyBorder="1" applyAlignment="1" applyProtection="1">
      <alignment horizontal="center" vertical="center"/>
      <protection/>
    </xf>
    <xf numFmtId="0" fontId="5" fillId="0" borderId="57" xfId="23" applyFont="1" applyBorder="1" applyAlignment="1" applyProtection="1">
      <alignment horizontal="center" vertical="center"/>
      <protection/>
    </xf>
    <xf numFmtId="0" fontId="5" fillId="3" borderId="3" xfId="23" applyFont="1" applyFill="1" applyBorder="1" applyAlignment="1" applyProtection="1">
      <alignment horizontal="center" vertical="center" wrapText="1"/>
      <protection/>
    </xf>
    <xf numFmtId="0" fontId="8" fillId="9" borderId="3" xfId="23" applyFont="1" applyFill="1" applyBorder="1" applyAlignment="1" applyProtection="1">
      <alignment horizontal="center" vertical="center"/>
      <protection/>
    </xf>
    <xf numFmtId="0" fontId="35" fillId="0" borderId="3" xfId="23" applyFont="1" applyFill="1" applyBorder="1" applyAlignment="1" applyProtection="1">
      <alignment horizontal="center" vertical="center" wrapText="1"/>
      <protection/>
    </xf>
    <xf numFmtId="0" fontId="5" fillId="0" borderId="3" xfId="23" applyFont="1" applyFill="1" applyBorder="1" applyAlignment="1" applyProtection="1">
      <alignment horizontal="center" vertical="center"/>
      <protection/>
    </xf>
    <xf numFmtId="0" fontId="8" fillId="0" borderId="3" xfId="23" applyFont="1" applyFill="1" applyBorder="1" applyAlignment="1" applyProtection="1">
      <alignment horizontal="center" vertical="center"/>
      <protection/>
    </xf>
    <xf numFmtId="0" fontId="124" fillId="0" borderId="0" xfId="23" applyFont="1" applyAlignment="1" applyProtection="1">
      <alignment vertical="center"/>
      <protection/>
    </xf>
    <xf numFmtId="0" fontId="108" fillId="7" borderId="0" xfId="0" applyFont="1" applyFill="1" applyBorder="1" applyAlignment="1" applyProtection="1">
      <alignment vertical="center" wrapText="1"/>
      <protection/>
    </xf>
    <xf numFmtId="0" fontId="124" fillId="0" borderId="0" xfId="23" applyFont="1" applyFill="1" applyAlignment="1" applyProtection="1">
      <alignment vertical="center"/>
      <protection/>
    </xf>
    <xf numFmtId="0" fontId="124" fillId="0" borderId="0" xfId="23" applyFont="1" applyBorder="1" applyAlignment="1" applyProtection="1">
      <alignment vertical="center"/>
      <protection/>
    </xf>
    <xf numFmtId="0" fontId="122" fillId="0" borderId="0" xfId="23" applyFont="1" applyAlignment="1" applyProtection="1">
      <alignment vertical="center"/>
      <protection/>
    </xf>
    <xf numFmtId="0" fontId="53" fillId="0" borderId="12" xfId="23" applyFont="1" applyFill="1" applyBorder="1" applyAlignment="1" applyProtection="1">
      <alignment vertical="center"/>
      <protection/>
    </xf>
    <xf numFmtId="0" fontId="53" fillId="0" borderId="13" xfId="23" applyFont="1" applyFill="1" applyBorder="1" applyAlignment="1" applyProtection="1">
      <alignment vertical="center"/>
      <protection/>
    </xf>
    <xf numFmtId="0" fontId="53" fillId="0" borderId="14" xfId="23" applyFont="1" applyFill="1" applyBorder="1" applyAlignment="1" applyProtection="1">
      <alignment vertical="center"/>
      <protection/>
    </xf>
    <xf numFmtId="0" fontId="53" fillId="0" borderId="0" xfId="23" applyFont="1" applyFill="1" applyBorder="1" applyAlignment="1" applyProtection="1">
      <alignment vertical="center"/>
      <protection/>
    </xf>
    <xf numFmtId="0" fontId="53" fillId="7" borderId="0" xfId="0" applyFont="1" applyFill="1" applyBorder="1" applyAlignment="1" applyProtection="1">
      <alignment vertical="center" wrapText="1"/>
      <protection/>
    </xf>
    <xf numFmtId="0" fontId="49" fillId="0" borderId="0" xfId="0" applyFont="1" applyAlignment="1">
      <alignment vertical="center"/>
    </xf>
    <xf numFmtId="0" fontId="10" fillId="3" borderId="4" xfId="21" applyFont="1" applyFill="1" applyBorder="1" applyAlignment="1" applyProtection="1">
      <alignment horizontal="center" vertical="center"/>
      <protection/>
    </xf>
    <xf numFmtId="0" fontId="51" fillId="3" borderId="4" xfId="0" applyFont="1" applyFill="1" applyBorder="1" applyAlignment="1">
      <alignment vertical="center"/>
    </xf>
    <xf numFmtId="0" fontId="51" fillId="3" borderId="24" xfId="0" applyFont="1" applyFill="1" applyBorder="1" applyAlignment="1">
      <alignment vertical="center"/>
    </xf>
    <xf numFmtId="0" fontId="51" fillId="3" borderId="26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" fillId="0" borderId="51" xfId="23" applyBorder="1" applyAlignment="1" applyProtection="1">
      <alignment horizontal="center" vertical="center"/>
      <protection/>
    </xf>
    <xf numFmtId="0" fontId="5" fillId="0" borderId="51" xfId="23" applyFont="1" applyBorder="1" applyAlignment="1" applyProtection="1">
      <alignment horizontal="center" vertical="center"/>
      <protection/>
    </xf>
    <xf numFmtId="0" fontId="5" fillId="0" borderId="30" xfId="23" applyFont="1" applyBorder="1" applyAlignment="1" applyProtection="1">
      <alignment vertical="center"/>
      <protection/>
    </xf>
    <xf numFmtId="0" fontId="5" fillId="0" borderId="90" xfId="23" applyFont="1" applyBorder="1" applyAlignment="1" applyProtection="1">
      <alignment vertical="center"/>
      <protection/>
    </xf>
    <xf numFmtId="179" fontId="53" fillId="14" borderId="75" xfId="23" applyNumberFormat="1" applyFont="1" applyFill="1" applyBorder="1" applyAlignment="1" applyProtection="1">
      <alignment horizontal="center" vertical="center"/>
      <protection/>
    </xf>
    <xf numFmtId="179" fontId="53" fillId="14" borderId="91" xfId="23" applyNumberFormat="1" applyFont="1" applyFill="1" applyBorder="1" applyAlignment="1" applyProtection="1">
      <alignment horizontal="center" vertical="center"/>
      <protection/>
    </xf>
    <xf numFmtId="179" fontId="53" fillId="14" borderId="76" xfId="23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53" fillId="0" borderId="3" xfId="23" applyFont="1" applyBorder="1" applyAlignment="1" applyProtection="1">
      <alignment horizontal="center"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98" fillId="0" borderId="0" xfId="0" applyFont="1" applyFill="1" applyAlignment="1" applyProtection="1">
      <alignment vertical="center" shrinkToFit="1"/>
      <protection/>
    </xf>
    <xf numFmtId="0" fontId="98" fillId="0" borderId="0" xfId="0" applyFont="1" applyFill="1" applyAlignment="1" applyProtection="1">
      <alignment vertical="center"/>
      <protection/>
    </xf>
    <xf numFmtId="179" fontId="5" fillId="0" borderId="3" xfId="23" applyNumberFormat="1" applyBorder="1" applyAlignment="1" applyProtection="1">
      <alignment horizontal="center" vertical="center"/>
      <protection/>
    </xf>
    <xf numFmtId="179" fontId="5" fillId="0" borderId="26" xfId="23" applyNumberFormat="1" applyBorder="1" applyAlignment="1" applyProtection="1">
      <alignment horizontal="center" vertical="center"/>
      <protection/>
    </xf>
    <xf numFmtId="179" fontId="109" fillId="0" borderId="3" xfId="0" applyNumberFormat="1" applyFont="1" applyBorder="1" applyAlignment="1">
      <alignment horizontal="center" vertical="center" wrapText="1"/>
    </xf>
    <xf numFmtId="0" fontId="0" fillId="0" borderId="0" xfId="33" applyAlignment="1">
      <alignment vertical="center"/>
      <protection/>
    </xf>
    <xf numFmtId="49" fontId="128" fillId="11" borderId="92" xfId="33" applyNumberFormat="1" applyFont="1" applyFill="1" applyBorder="1" applyAlignment="1">
      <alignment horizontal="center" vertical="center" wrapText="1"/>
      <protection/>
    </xf>
    <xf numFmtId="0" fontId="130" fillId="17" borderId="27" xfId="33" applyNumberFormat="1" applyFont="1" applyFill="1" applyBorder="1" applyAlignment="1">
      <alignment horizontal="center" vertical="center" wrapText="1"/>
      <protection/>
    </xf>
    <xf numFmtId="0" fontId="0" fillId="0" borderId="0" xfId="33" applyNumberFormat="1" applyAlignment="1">
      <alignment vertical="center"/>
      <protection/>
    </xf>
    <xf numFmtId="49" fontId="128" fillId="15" borderId="92" xfId="33" applyNumberFormat="1" applyFont="1" applyFill="1" applyBorder="1" applyAlignment="1">
      <alignment horizontal="center" vertical="center" wrapText="1"/>
      <protection/>
    </xf>
    <xf numFmtId="0" fontId="130" fillId="15" borderId="27" xfId="33" applyNumberFormat="1" applyFont="1" applyFill="1" applyBorder="1" applyAlignment="1">
      <alignment horizontal="center" vertical="center" wrapText="1"/>
      <protection/>
    </xf>
    <xf numFmtId="0" fontId="130" fillId="17" borderId="3" xfId="33" applyNumberFormat="1" applyFont="1" applyFill="1" applyBorder="1" applyAlignment="1">
      <alignment horizontal="center" vertical="center" shrinkToFit="1"/>
      <protection/>
    </xf>
    <xf numFmtId="0" fontId="0" fillId="0" borderId="3" xfId="33" applyBorder="1" applyAlignment="1">
      <alignment horizontal="center" vertical="center" shrinkToFit="1"/>
      <protection/>
    </xf>
    <xf numFmtId="0" fontId="0" fillId="0" borderId="3" xfId="33" applyNumberFormat="1" applyBorder="1" applyAlignment="1">
      <alignment vertical="center" shrinkToFit="1"/>
      <protection/>
    </xf>
    <xf numFmtId="0" fontId="130" fillId="17" borderId="0" xfId="33" applyNumberFormat="1" applyFont="1" applyFill="1" applyBorder="1" applyAlignment="1">
      <alignment horizontal="center" vertical="center" shrinkToFit="1"/>
      <protection/>
    </xf>
    <xf numFmtId="0" fontId="0" fillId="0" borderId="0" xfId="33" applyBorder="1" applyAlignment="1">
      <alignment horizontal="center" vertical="center" shrinkToFit="1"/>
      <protection/>
    </xf>
    <xf numFmtId="0" fontId="0" fillId="0" borderId="0" xfId="33" applyNumberFormat="1" applyBorder="1" applyAlignment="1">
      <alignment vertical="center" shrinkToFit="1"/>
      <protection/>
    </xf>
    <xf numFmtId="49" fontId="130" fillId="11" borderId="3" xfId="33" applyNumberFormat="1" applyFont="1" applyFill="1" applyBorder="1" applyAlignment="1">
      <alignment horizontal="center" vertical="center" wrapText="1"/>
      <protection/>
    </xf>
    <xf numFmtId="0" fontId="0" fillId="0" borderId="3" xfId="33" applyBorder="1" applyAlignment="1">
      <alignment vertical="center"/>
      <protection/>
    </xf>
    <xf numFmtId="0" fontId="130" fillId="0" borderId="0" xfId="33" applyNumberFormat="1" applyFont="1" applyFill="1" applyBorder="1" applyAlignment="1">
      <alignment vertical="center"/>
      <protection/>
    </xf>
    <xf numFmtId="0" fontId="130" fillId="0" borderId="0" xfId="33" applyNumberFormat="1" applyFont="1" applyFill="1" applyBorder="1" applyAlignment="1">
      <alignment horizontal="center" vertical="center" shrinkToFit="1"/>
      <protection/>
    </xf>
    <xf numFmtId="0" fontId="130" fillId="18" borderId="0" xfId="33" applyNumberFormat="1" applyFont="1" applyFill="1" applyBorder="1" applyAlignment="1">
      <alignment vertical="center"/>
      <protection/>
    </xf>
    <xf numFmtId="0" fontId="130" fillId="18" borderId="0" xfId="33" applyNumberFormat="1" applyFont="1" applyFill="1" applyBorder="1" applyAlignment="1">
      <alignment horizontal="center" vertical="center" shrinkToFit="1"/>
      <protection/>
    </xf>
    <xf numFmtId="0" fontId="0" fillId="0" borderId="0" xfId="33" applyFill="1" applyBorder="1" applyAlignment="1">
      <alignment horizontal="center" vertical="center" shrinkToFit="1"/>
      <protection/>
    </xf>
    <xf numFmtId="0" fontId="0" fillId="0" borderId="0" xfId="33" applyNumberFormat="1" applyFill="1" applyBorder="1" applyAlignment="1">
      <alignment vertical="center" shrinkToFit="1"/>
      <protection/>
    </xf>
    <xf numFmtId="0" fontId="55" fillId="0" borderId="0" xfId="0" applyFont="1" applyAlignment="1" applyProtection="1">
      <alignment horizontal="center" vertical="center"/>
      <protection/>
    </xf>
    <xf numFmtId="49" fontId="66" fillId="6" borderId="30" xfId="0" applyNumberFormat="1" applyFont="1" applyFill="1" applyBorder="1" applyAlignment="1" applyProtection="1">
      <alignment horizontal="left" vertical="center" wrapText="1"/>
      <protection/>
    </xf>
    <xf numFmtId="49" fontId="66" fillId="6" borderId="0" xfId="0" applyNumberFormat="1" applyFont="1" applyFill="1" applyBorder="1" applyAlignment="1" applyProtection="1">
      <alignment horizontal="left" vertical="center" wrapText="1"/>
      <protection/>
    </xf>
    <xf numFmtId="49" fontId="66" fillId="6" borderId="77" xfId="0" applyNumberFormat="1" applyFont="1" applyFill="1" applyBorder="1" applyAlignment="1" applyProtection="1">
      <alignment horizontal="left" vertical="center" wrapText="1"/>
      <protection/>
    </xf>
    <xf numFmtId="49" fontId="66" fillId="6" borderId="25" xfId="0" applyNumberFormat="1" applyFont="1" applyFill="1" applyBorder="1" applyAlignment="1" applyProtection="1">
      <alignment horizontal="left" vertical="center" wrapText="1"/>
      <protection/>
    </xf>
    <xf numFmtId="49" fontId="66" fillId="6" borderId="51" xfId="0" applyNumberFormat="1" applyFont="1" applyFill="1" applyBorder="1" applyAlignment="1" applyProtection="1">
      <alignment horizontal="left" vertical="center" wrapText="1"/>
      <protection/>
    </xf>
    <xf numFmtId="49" fontId="66" fillId="6" borderId="93" xfId="0" applyNumberFormat="1" applyFont="1" applyFill="1" applyBorder="1" applyAlignment="1" applyProtection="1">
      <alignment horizontal="left" vertical="center" wrapText="1"/>
      <protection/>
    </xf>
    <xf numFmtId="49" fontId="66" fillId="6" borderId="58" xfId="0" applyNumberFormat="1" applyFont="1" applyFill="1" applyBorder="1" applyAlignment="1" applyProtection="1">
      <alignment horizontal="left" vertical="center" wrapText="1"/>
      <protection/>
    </xf>
    <xf numFmtId="49" fontId="66" fillId="6" borderId="57" xfId="0" applyNumberFormat="1" applyFont="1" applyFill="1" applyBorder="1" applyAlignment="1" applyProtection="1">
      <alignment horizontal="left" vertical="center" wrapText="1"/>
      <protection/>
    </xf>
    <xf numFmtId="49" fontId="66" fillId="6" borderId="94" xfId="0" applyNumberFormat="1" applyFont="1" applyFill="1" applyBorder="1" applyAlignment="1" applyProtection="1">
      <alignment horizontal="left" vertical="center" wrapText="1"/>
      <protection/>
    </xf>
    <xf numFmtId="0" fontId="106" fillId="6" borderId="4" xfId="0" applyFont="1" applyFill="1" applyBorder="1" applyAlignment="1">
      <alignment horizontal="left" vertical="center" wrapText="1"/>
    </xf>
    <xf numFmtId="0" fontId="106" fillId="6" borderId="24" xfId="0" applyFont="1" applyFill="1" applyBorder="1" applyAlignment="1">
      <alignment horizontal="left" vertical="center" wrapText="1"/>
    </xf>
    <xf numFmtId="0" fontId="106" fillId="6" borderId="26" xfId="0" applyFont="1" applyFill="1" applyBorder="1" applyAlignment="1">
      <alignment horizontal="left" vertical="center" wrapText="1"/>
    </xf>
    <xf numFmtId="0" fontId="106" fillId="11" borderId="3" xfId="0" applyFont="1" applyFill="1" applyBorder="1" applyAlignment="1">
      <alignment horizontal="left" vertical="center" wrapText="1"/>
    </xf>
    <xf numFmtId="49" fontId="106" fillId="0" borderId="3" xfId="0" applyNumberFormat="1" applyFont="1" applyFill="1" applyBorder="1" applyAlignment="1" applyProtection="1">
      <alignment horizontal="left" vertical="center" wrapText="1"/>
      <protection/>
    </xf>
    <xf numFmtId="0" fontId="94" fillId="4" borderId="51" xfId="0" applyFont="1" applyFill="1" applyBorder="1" applyAlignment="1" applyProtection="1">
      <alignment horizontal="center" vertical="center"/>
      <protection/>
    </xf>
    <xf numFmtId="0" fontId="106" fillId="6" borderId="53" xfId="0" applyFont="1" applyFill="1" applyBorder="1" applyAlignment="1">
      <alignment horizontal="center" vertical="center" textRotation="255" wrapText="1"/>
    </xf>
    <xf numFmtId="0" fontId="106" fillId="6" borderId="48" xfId="0" applyFont="1" applyFill="1" applyBorder="1" applyAlignment="1">
      <alignment horizontal="center" vertical="center" textRotation="255" wrapText="1"/>
    </xf>
    <xf numFmtId="0" fontId="106" fillId="6" borderId="49" xfId="0" applyFont="1" applyFill="1" applyBorder="1" applyAlignment="1">
      <alignment horizontal="center" vertical="center" textRotation="255" wrapText="1"/>
    </xf>
    <xf numFmtId="0" fontId="106" fillId="6" borderId="3" xfId="0" applyFont="1" applyFill="1" applyBorder="1" applyAlignment="1">
      <alignment horizontal="center" vertical="center" wrapText="1"/>
    </xf>
    <xf numFmtId="0" fontId="104" fillId="6" borderId="3" xfId="0" applyFont="1" applyFill="1" applyBorder="1" applyAlignment="1">
      <alignment horizontal="justify" vertical="center" wrapText="1"/>
    </xf>
    <xf numFmtId="49" fontId="70" fillId="0" borderId="58" xfId="0" applyNumberFormat="1" applyFont="1" applyFill="1" applyBorder="1" applyAlignment="1" applyProtection="1">
      <alignment horizontal="center" vertical="center" wrapText="1"/>
      <protection/>
    </xf>
    <xf numFmtId="49" fontId="70" fillId="0" borderId="57" xfId="0" applyNumberFormat="1" applyFont="1" applyFill="1" applyBorder="1" applyAlignment="1" applyProtection="1">
      <alignment horizontal="center" vertical="center" wrapText="1"/>
      <protection/>
    </xf>
    <xf numFmtId="49" fontId="70" fillId="0" borderId="94" xfId="0" applyNumberFormat="1" applyFont="1" applyFill="1" applyBorder="1" applyAlignment="1" applyProtection="1">
      <alignment horizontal="center" vertical="center" wrapText="1"/>
      <protection/>
    </xf>
    <xf numFmtId="49" fontId="70" fillId="0" borderId="30" xfId="0" applyNumberFormat="1" applyFont="1" applyFill="1" applyBorder="1" applyAlignment="1" applyProtection="1">
      <alignment horizontal="center" vertical="center" wrapText="1"/>
      <protection/>
    </xf>
    <xf numFmtId="49" fontId="70" fillId="0" borderId="0" xfId="0" applyNumberFormat="1" applyFont="1" applyFill="1" applyBorder="1" applyAlignment="1" applyProtection="1">
      <alignment horizontal="center" vertical="center" wrapText="1"/>
      <protection/>
    </xf>
    <xf numFmtId="49" fontId="70" fillId="0" borderId="77" xfId="0" applyNumberFormat="1" applyFont="1" applyFill="1" applyBorder="1" applyAlignment="1" applyProtection="1">
      <alignment horizontal="center" vertical="center" wrapText="1"/>
      <protection/>
    </xf>
    <xf numFmtId="49" fontId="70" fillId="0" borderId="95" xfId="0" applyNumberFormat="1" applyFont="1" applyFill="1" applyBorder="1" applyAlignment="1" applyProtection="1">
      <alignment horizontal="center" vertical="center" wrapText="1"/>
      <protection/>
    </xf>
    <xf numFmtId="49" fontId="70" fillId="0" borderId="33" xfId="0" applyNumberFormat="1" applyFont="1" applyFill="1" applyBorder="1" applyAlignment="1" applyProtection="1">
      <alignment horizontal="center" vertical="center" wrapText="1"/>
      <protection/>
    </xf>
    <xf numFmtId="49" fontId="70" fillId="0" borderId="96" xfId="0" applyNumberFormat="1" applyFont="1" applyFill="1" applyBorder="1" applyAlignment="1" applyProtection="1">
      <alignment horizontal="center" vertical="center" wrapText="1"/>
      <protection/>
    </xf>
    <xf numFmtId="49" fontId="70" fillId="0" borderId="25" xfId="0" applyNumberFormat="1" applyFont="1" applyFill="1" applyBorder="1" applyAlignment="1" applyProtection="1">
      <alignment horizontal="center" vertical="center" wrapText="1"/>
      <protection/>
    </xf>
    <xf numFmtId="49" fontId="70" fillId="0" borderId="51" xfId="0" applyNumberFormat="1" applyFont="1" applyFill="1" applyBorder="1" applyAlignment="1" applyProtection="1">
      <alignment horizontal="center" vertical="center" wrapText="1"/>
      <protection/>
    </xf>
    <xf numFmtId="49" fontId="70" fillId="0" borderId="93" xfId="0" applyNumberFormat="1" applyFont="1" applyFill="1" applyBorder="1" applyAlignment="1" applyProtection="1">
      <alignment horizontal="center" vertical="center" wrapText="1"/>
      <protection/>
    </xf>
    <xf numFmtId="0" fontId="106" fillId="6" borderId="3" xfId="0" applyFont="1" applyFill="1" applyBorder="1" applyAlignment="1">
      <alignment horizontal="center" vertical="center" textRotation="255" wrapText="1"/>
    </xf>
    <xf numFmtId="49" fontId="71" fillId="6" borderId="4" xfId="0" applyNumberFormat="1" applyFont="1" applyFill="1" applyBorder="1" applyAlignment="1" applyProtection="1">
      <alignment horizontal="left" vertical="center" wrapText="1"/>
      <protection/>
    </xf>
    <xf numFmtId="49" fontId="71" fillId="6" borderId="24" xfId="0" applyNumberFormat="1" applyFont="1" applyFill="1" applyBorder="1" applyAlignment="1" applyProtection="1">
      <alignment horizontal="left" vertical="center" wrapText="1"/>
      <protection/>
    </xf>
    <xf numFmtId="49" fontId="71" fillId="6" borderId="26" xfId="0" applyNumberFormat="1" applyFont="1" applyFill="1" applyBorder="1" applyAlignment="1" applyProtection="1">
      <alignment horizontal="left" vertical="center" wrapText="1"/>
      <protection/>
    </xf>
    <xf numFmtId="49" fontId="92" fillId="0" borderId="58" xfId="0" applyNumberFormat="1" applyFont="1" applyFill="1" applyBorder="1" applyAlignment="1" applyProtection="1">
      <alignment horizontal="left" vertical="center" wrapText="1"/>
      <protection/>
    </xf>
    <xf numFmtId="49" fontId="92" fillId="0" borderId="57" xfId="0" applyNumberFormat="1" applyFont="1" applyFill="1" applyBorder="1" applyAlignment="1" applyProtection="1">
      <alignment horizontal="left" vertical="center" wrapText="1"/>
      <protection/>
    </xf>
    <xf numFmtId="49" fontId="92" fillId="0" borderId="94" xfId="0" applyNumberFormat="1" applyFont="1" applyFill="1" applyBorder="1" applyAlignment="1" applyProtection="1">
      <alignment horizontal="left" vertical="center" wrapText="1"/>
      <protection/>
    </xf>
    <xf numFmtId="49" fontId="92" fillId="0" borderId="30" xfId="0" applyNumberFormat="1" applyFont="1" applyFill="1" applyBorder="1" applyAlignment="1" applyProtection="1">
      <alignment horizontal="left" vertical="center" wrapText="1"/>
      <protection/>
    </xf>
    <xf numFmtId="49" fontId="92" fillId="0" borderId="0" xfId="0" applyNumberFormat="1" applyFont="1" applyFill="1" applyBorder="1" applyAlignment="1" applyProtection="1">
      <alignment horizontal="left" vertical="center" wrapText="1"/>
      <protection/>
    </xf>
    <xf numFmtId="49" fontId="92" fillId="0" borderId="77" xfId="0" applyNumberFormat="1" applyFont="1" applyFill="1" applyBorder="1" applyAlignment="1" applyProtection="1">
      <alignment horizontal="left" vertical="center" wrapText="1"/>
      <protection/>
    </xf>
    <xf numFmtId="49" fontId="92" fillId="0" borderId="25" xfId="0" applyNumberFormat="1" applyFont="1" applyFill="1" applyBorder="1" applyAlignment="1" applyProtection="1">
      <alignment horizontal="left" vertical="center" wrapText="1"/>
      <protection/>
    </xf>
    <xf numFmtId="49" fontId="92" fillId="0" borderId="51" xfId="0" applyNumberFormat="1" applyFont="1" applyFill="1" applyBorder="1" applyAlignment="1" applyProtection="1">
      <alignment horizontal="left" vertical="center" wrapText="1"/>
      <protection/>
    </xf>
    <xf numFmtId="49" fontId="92" fillId="0" borderId="93" xfId="0" applyNumberFormat="1" applyFont="1" applyFill="1" applyBorder="1" applyAlignment="1" applyProtection="1">
      <alignment horizontal="left" vertical="center" wrapText="1"/>
      <protection/>
    </xf>
    <xf numFmtId="49" fontId="92" fillId="0" borderId="4" xfId="0" applyNumberFormat="1" applyFont="1" applyFill="1" applyBorder="1" applyAlignment="1" applyProtection="1">
      <alignment horizontal="left" vertical="center" wrapText="1"/>
      <protection/>
    </xf>
    <xf numFmtId="49" fontId="92" fillId="0" borderId="24" xfId="0" applyNumberFormat="1" applyFont="1" applyFill="1" applyBorder="1" applyAlignment="1" applyProtection="1">
      <alignment horizontal="left" vertical="center" wrapText="1"/>
      <protection/>
    </xf>
    <xf numFmtId="49" fontId="92" fillId="0" borderId="26" xfId="0" applyNumberFormat="1" applyFont="1" applyFill="1" applyBorder="1" applyAlignment="1" applyProtection="1">
      <alignment horizontal="left" vertical="center" wrapText="1"/>
      <protection/>
    </xf>
    <xf numFmtId="49" fontId="92" fillId="6" borderId="4" xfId="0" applyNumberFormat="1" applyFont="1" applyFill="1" applyBorder="1" applyAlignment="1" applyProtection="1">
      <alignment horizontal="left" vertical="center" wrapText="1"/>
      <protection/>
    </xf>
    <xf numFmtId="49" fontId="92" fillId="6" borderId="24" xfId="0" applyNumberFormat="1" applyFont="1" applyFill="1" applyBorder="1" applyAlignment="1" applyProtection="1">
      <alignment horizontal="left" vertical="center" wrapText="1"/>
      <protection/>
    </xf>
    <xf numFmtId="49" fontId="92" fillId="6" borderId="26" xfId="0" applyNumberFormat="1" applyFont="1" applyFill="1" applyBorder="1" applyAlignment="1" applyProtection="1">
      <alignment horizontal="left" vertical="center" wrapText="1"/>
      <protection/>
    </xf>
    <xf numFmtId="0" fontId="106" fillId="6" borderId="3" xfId="0" applyFont="1" applyFill="1" applyBorder="1" applyAlignment="1">
      <alignment horizontal="left" vertical="center" wrapText="1"/>
    </xf>
    <xf numFmtId="0" fontId="49" fillId="19" borderId="11" xfId="0" applyNumberFormat="1" applyFont="1" applyFill="1" applyBorder="1" applyAlignment="1" applyProtection="1">
      <alignment horizontal="center" vertical="center" shrinkToFit="1"/>
      <protection/>
    </xf>
    <xf numFmtId="0" fontId="49" fillId="19" borderId="9" xfId="0" applyNumberFormat="1" applyFont="1" applyFill="1" applyBorder="1" applyAlignment="1" applyProtection="1">
      <alignment horizontal="center" vertical="center" shrinkToFit="1"/>
      <protection/>
    </xf>
    <xf numFmtId="0" fontId="64" fillId="0" borderId="12" xfId="0" applyFont="1" applyFill="1" applyBorder="1" applyAlignment="1" applyProtection="1">
      <alignment horizontal="center" vertical="center" shrinkToFit="1"/>
      <protection/>
    </xf>
    <xf numFmtId="0" fontId="64" fillId="0" borderId="13" xfId="0" applyFont="1" applyFill="1" applyBorder="1" applyAlignment="1" applyProtection="1">
      <alignment horizontal="center" vertical="center" shrinkToFit="1"/>
      <protection/>
    </xf>
    <xf numFmtId="0" fontId="64" fillId="0" borderId="14" xfId="0" applyFont="1" applyFill="1" applyBorder="1" applyAlignment="1" applyProtection="1">
      <alignment horizontal="center" vertical="center" shrinkToFit="1"/>
      <protection/>
    </xf>
    <xf numFmtId="14" fontId="49" fillId="7" borderId="24" xfId="23" applyNumberFormat="1" applyFont="1" applyFill="1" applyBorder="1" applyAlignment="1" applyProtection="1">
      <alignment horizontal="center" vertical="center"/>
      <protection locked="0"/>
    </xf>
    <xf numFmtId="14" fontId="49" fillId="7" borderId="26" xfId="23" applyNumberFormat="1" applyFont="1" applyFill="1" applyBorder="1" applyAlignment="1" applyProtection="1">
      <alignment horizontal="center" vertical="center"/>
      <protection locked="0"/>
    </xf>
    <xf numFmtId="187" fontId="49" fillId="7" borderId="24" xfId="23" applyNumberFormat="1" applyFont="1" applyFill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left" vertical="center"/>
      <protection/>
    </xf>
    <xf numFmtId="0" fontId="51" fillId="0" borderId="26" xfId="0" applyFont="1" applyBorder="1" applyAlignment="1" applyProtection="1">
      <alignment horizontal="left" vertical="center"/>
      <protection/>
    </xf>
    <xf numFmtId="0" fontId="51" fillId="0" borderId="24" xfId="0" applyFont="1" applyFill="1" applyBorder="1" applyAlignment="1" applyProtection="1">
      <alignment horizontal="left" vertical="center"/>
      <protection/>
    </xf>
    <xf numFmtId="0" fontId="51" fillId="0" borderId="26" xfId="0" applyFont="1" applyFill="1" applyBorder="1" applyAlignment="1" applyProtection="1">
      <alignment horizontal="left" vertical="center"/>
      <protection/>
    </xf>
    <xf numFmtId="0" fontId="51" fillId="0" borderId="4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vertical="center" wrapText="1"/>
      <protection/>
    </xf>
    <xf numFmtId="0" fontId="51" fillId="0" borderId="26" xfId="0" applyFont="1" applyBorder="1" applyAlignment="1" applyProtection="1">
      <alignment vertical="center" wrapText="1"/>
      <protection/>
    </xf>
    <xf numFmtId="0" fontId="51" fillId="0" borderId="57" xfId="0" applyFont="1" applyBorder="1" applyAlignment="1" applyProtection="1">
      <alignment horizontal="left" vertical="center" wrapText="1"/>
      <protection/>
    </xf>
    <xf numFmtId="0" fontId="51" fillId="0" borderId="94" xfId="0" applyFont="1" applyBorder="1" applyAlignment="1" applyProtection="1">
      <alignment horizontal="left" vertical="center" wrapText="1"/>
      <protection/>
    </xf>
    <xf numFmtId="0" fontId="49" fillId="0" borderId="4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49" fillId="7" borderId="24" xfId="0" applyNumberFormat="1" applyFont="1" applyFill="1" applyBorder="1" applyAlignment="1" applyProtection="1">
      <alignment horizontal="left" vertical="center" shrinkToFit="1"/>
      <protection locked="0"/>
    </xf>
    <xf numFmtId="49" fontId="49" fillId="7" borderId="26" xfId="0" applyNumberFormat="1" applyFont="1" applyFill="1" applyBorder="1" applyAlignment="1" applyProtection="1">
      <alignment horizontal="left" vertical="center" shrinkToFit="1"/>
      <protection locked="0"/>
    </xf>
    <xf numFmtId="0" fontId="49" fillId="7" borderId="24" xfId="0" applyFont="1" applyFill="1" applyBorder="1" applyAlignment="1" applyProtection="1">
      <alignment horizontal="center" vertical="center" shrinkToFit="1"/>
      <protection locked="0"/>
    </xf>
    <xf numFmtId="0" fontId="49" fillId="7" borderId="26" xfId="0" applyFont="1" applyFill="1" applyBorder="1" applyAlignment="1" applyProtection="1">
      <alignment horizontal="center" vertical="center" shrinkToFit="1"/>
      <protection locked="0"/>
    </xf>
    <xf numFmtId="0" fontId="49" fillId="0" borderId="53" xfId="0" applyFont="1" applyFill="1" applyBorder="1" applyAlignment="1" applyProtection="1">
      <alignment horizontal="center" vertical="center" wrapText="1" shrinkToFit="1"/>
      <protection/>
    </xf>
    <xf numFmtId="0" fontId="49" fillId="0" borderId="48" xfId="0" applyFont="1" applyFill="1" applyBorder="1" applyAlignment="1" applyProtection="1">
      <alignment horizontal="center" vertical="center" wrapText="1" shrinkToFit="1"/>
      <protection/>
    </xf>
    <xf numFmtId="0" fontId="49" fillId="0" borderId="49" xfId="0" applyFont="1" applyFill="1" applyBorder="1" applyAlignment="1" applyProtection="1">
      <alignment horizontal="center" vertical="center" wrapText="1" shrinkToFit="1"/>
      <protection/>
    </xf>
    <xf numFmtId="194" fontId="49" fillId="7" borderId="24" xfId="0" applyNumberFormat="1" applyFont="1" applyFill="1" applyBorder="1" applyAlignment="1" applyProtection="1">
      <alignment horizontal="center" vertical="center"/>
      <protection locked="0"/>
    </xf>
    <xf numFmtId="194" fontId="49" fillId="7" borderId="26" xfId="0" applyNumberFormat="1" applyFont="1" applyFill="1" applyBorder="1" applyAlignment="1" applyProtection="1">
      <alignment horizontal="center" vertical="center"/>
      <protection locked="0"/>
    </xf>
    <xf numFmtId="0" fontId="51" fillId="0" borderId="4" xfId="0" applyFont="1" applyFill="1" applyBorder="1" applyAlignment="1" applyProtection="1">
      <alignment horizontal="center" vertical="center" shrinkToFit="1"/>
      <protection/>
    </xf>
    <xf numFmtId="0" fontId="51" fillId="0" borderId="24" xfId="0" applyFont="1" applyFill="1" applyBorder="1" applyAlignment="1" applyProtection="1">
      <alignment horizontal="center" vertical="center" shrinkToFit="1"/>
      <protection/>
    </xf>
    <xf numFmtId="0" fontId="49" fillId="7" borderId="24" xfId="0" applyFont="1" applyFill="1" applyBorder="1" applyAlignment="1" applyProtection="1">
      <alignment horizontal="center" vertical="center"/>
      <protection locked="0"/>
    </xf>
    <xf numFmtId="0" fontId="49" fillId="7" borderId="26" xfId="0" applyFont="1" applyFill="1" applyBorder="1" applyAlignment="1" applyProtection="1">
      <alignment horizontal="center" vertical="center"/>
      <protection locked="0"/>
    </xf>
    <xf numFmtId="0" fontId="87" fillId="3" borderId="11" xfId="0" applyNumberFormat="1" applyFont="1" applyFill="1" applyBorder="1" applyAlignment="1" applyProtection="1">
      <alignment horizontal="center" vertical="center" textRotation="255" wrapText="1"/>
      <protection/>
    </xf>
    <xf numFmtId="0" fontId="87" fillId="3" borderId="97" xfId="0" applyNumberFormat="1" applyFont="1" applyFill="1" applyBorder="1" applyAlignment="1" applyProtection="1">
      <alignment horizontal="center" vertical="center" textRotation="255" wrapText="1"/>
      <protection/>
    </xf>
    <xf numFmtId="0" fontId="87" fillId="3" borderId="9" xfId="0" applyNumberFormat="1" applyFont="1" applyFill="1" applyBorder="1" applyAlignment="1" applyProtection="1">
      <alignment horizontal="center" vertical="center" textRotation="255" wrapText="1"/>
      <protection/>
    </xf>
    <xf numFmtId="14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4" xfId="21" applyFont="1" applyFill="1" applyBorder="1" applyAlignment="1" applyProtection="1">
      <alignment horizontal="center" vertical="center" wrapText="1"/>
      <protection locked="0"/>
    </xf>
    <xf numFmtId="0" fontId="49" fillId="7" borderId="26" xfId="21" applyFont="1" applyFill="1" applyBorder="1" applyAlignment="1" applyProtection="1">
      <alignment horizontal="center" vertical="center" wrapText="1"/>
      <protection locked="0"/>
    </xf>
    <xf numFmtId="0" fontId="51" fillId="0" borderId="4" xfId="0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center" vertical="center"/>
      <protection/>
    </xf>
    <xf numFmtId="0" fontId="51" fillId="0" borderId="24" xfId="0" applyFont="1" applyFill="1" applyBorder="1" applyAlignment="1" applyProtection="1">
      <alignment horizontal="center" vertical="center" wrapText="1"/>
      <protection/>
    </xf>
    <xf numFmtId="0" fontId="49" fillId="14" borderId="11" xfId="0" applyNumberFormat="1" applyFont="1" applyFill="1" applyBorder="1" applyAlignment="1" applyProtection="1">
      <alignment horizontal="center" vertical="center" textRotation="255" wrapText="1"/>
      <protection/>
    </xf>
    <xf numFmtId="0" fontId="49" fillId="14" borderId="97" xfId="0" applyNumberFormat="1" applyFont="1" applyFill="1" applyBorder="1" applyAlignment="1" applyProtection="1">
      <alignment horizontal="center" vertical="center" textRotation="255" wrapText="1"/>
      <protection/>
    </xf>
    <xf numFmtId="0" fontId="49" fillId="14" borderId="9" xfId="0" applyNumberFormat="1" applyFont="1" applyFill="1" applyBorder="1" applyAlignment="1" applyProtection="1">
      <alignment horizontal="center" vertical="center" textRotation="255" wrapText="1"/>
      <protection/>
    </xf>
    <xf numFmtId="0" fontId="51" fillId="0" borderId="94" xfId="0" applyFont="1" applyBorder="1" applyAlignment="1" applyProtection="1">
      <alignment horizontal="center" vertical="center"/>
      <protection/>
    </xf>
    <xf numFmtId="0" fontId="51" fillId="0" borderId="93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center" vertical="center"/>
      <protection/>
    </xf>
    <xf numFmtId="196" fontId="49" fillId="7" borderId="51" xfId="23" applyNumberFormat="1" applyFont="1" applyFill="1" applyBorder="1" applyAlignment="1" applyProtection="1">
      <alignment horizontal="center" vertical="center"/>
      <protection locked="0"/>
    </xf>
    <xf numFmtId="196" fontId="49" fillId="7" borderId="93" xfId="23" applyNumberFormat="1" applyFont="1" applyFill="1" applyBorder="1" applyAlignment="1" applyProtection="1">
      <alignment horizontal="center" vertical="center"/>
      <protection locked="0"/>
    </xf>
    <xf numFmtId="49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49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 applyProtection="1">
      <alignment horizontal="center" vertical="center" wrapText="1"/>
      <protection/>
    </xf>
    <xf numFmtId="0" fontId="51" fillId="0" borderId="3" xfId="0" applyFont="1" applyBorder="1" applyAlignment="1" applyProtection="1">
      <alignment horizontal="center" vertical="center"/>
      <protection/>
    </xf>
    <xf numFmtId="0" fontId="49" fillId="4" borderId="53" xfId="0" applyFont="1" applyFill="1" applyBorder="1" applyAlignment="1" applyProtection="1">
      <alignment horizontal="center" vertical="center"/>
      <protection/>
    </xf>
    <xf numFmtId="0" fontId="49" fillId="4" borderId="48" xfId="0" applyFont="1" applyFill="1" applyBorder="1" applyAlignment="1" applyProtection="1">
      <alignment horizontal="center" vertical="center"/>
      <protection/>
    </xf>
    <xf numFmtId="0" fontId="49" fillId="4" borderId="49" xfId="0" applyFont="1" applyFill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/>
      <protection/>
    </xf>
    <xf numFmtId="0" fontId="56" fillId="13" borderId="4" xfId="0" applyFont="1" applyFill="1" applyBorder="1" applyAlignment="1" applyProtection="1">
      <alignment horizontal="center" vertical="center" shrinkToFit="1"/>
      <protection/>
    </xf>
    <xf numFmtId="0" fontId="56" fillId="13" borderId="24" xfId="0" applyFont="1" applyFill="1" applyBorder="1" applyAlignment="1" applyProtection="1">
      <alignment horizontal="center" vertical="center" shrinkToFit="1"/>
      <protection/>
    </xf>
    <xf numFmtId="0" fontId="56" fillId="13" borderId="26" xfId="0" applyFont="1" applyFill="1" applyBorder="1" applyAlignment="1" applyProtection="1">
      <alignment horizontal="center" vertical="center" shrinkToFi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49" fillId="0" borderId="24" xfId="0" applyFont="1" applyFill="1" applyBorder="1" applyAlignment="1" applyProtection="1">
      <alignment horizontal="center" vertical="center"/>
      <protection locked="0"/>
    </xf>
    <xf numFmtId="0" fontId="49" fillId="0" borderId="26" xfId="0" applyFont="1" applyFill="1" applyBorder="1" applyAlignment="1" applyProtection="1">
      <alignment horizontal="center" vertical="center"/>
      <protection locked="0"/>
    </xf>
    <xf numFmtId="0" fontId="49" fillId="0" borderId="94" xfId="0" applyFont="1" applyBorder="1" applyAlignment="1" applyProtection="1">
      <alignment horizontal="center" vertical="center" wrapText="1"/>
      <protection/>
    </xf>
    <xf numFmtId="0" fontId="49" fillId="0" borderId="77" xfId="0" applyFont="1" applyBorder="1" applyAlignment="1" applyProtection="1">
      <alignment horizontal="center" vertical="center" wrapText="1"/>
      <protection/>
    </xf>
    <xf numFmtId="0" fontId="49" fillId="0" borderId="93" xfId="0" applyFont="1" applyBorder="1" applyAlignment="1" applyProtection="1">
      <alignment horizontal="center" vertical="center" wrapText="1"/>
      <protection/>
    </xf>
    <xf numFmtId="0" fontId="49" fillId="0" borderId="94" xfId="0" applyFont="1" applyFill="1" applyBorder="1" applyAlignment="1" applyProtection="1">
      <alignment horizontal="center" vertical="center"/>
      <protection/>
    </xf>
    <xf numFmtId="0" fontId="49" fillId="0" borderId="77" xfId="0" applyFont="1" applyFill="1" applyBorder="1" applyAlignment="1" applyProtection="1">
      <alignment horizontal="center" vertical="center"/>
      <protection/>
    </xf>
    <xf numFmtId="0" fontId="49" fillId="0" borderId="93" xfId="0" applyFont="1" applyFill="1" applyBorder="1" applyAlignment="1" applyProtection="1">
      <alignment horizontal="center" vertical="center"/>
      <protection/>
    </xf>
    <xf numFmtId="0" fontId="49" fillId="3" borderId="98" xfId="0" applyFont="1" applyFill="1" applyBorder="1" applyAlignment="1" applyProtection="1">
      <alignment horizontal="center" vertical="center"/>
      <protection locked="0"/>
    </xf>
    <xf numFmtId="0" fontId="49" fillId="3" borderId="99" xfId="0" applyFont="1" applyFill="1" applyBorder="1" applyAlignment="1" applyProtection="1">
      <alignment horizontal="center" vertical="center"/>
      <protection locked="0"/>
    </xf>
    <xf numFmtId="0" fontId="49" fillId="3" borderId="100" xfId="0" applyFont="1" applyFill="1" applyBorder="1" applyAlignment="1" applyProtection="1">
      <alignment horizontal="center" vertical="center"/>
      <protection locked="0"/>
    </xf>
    <xf numFmtId="0" fontId="51" fillId="0" borderId="4" xfId="0" applyFont="1" applyFill="1" applyBorder="1" applyAlignment="1" applyProtection="1">
      <alignment horizontal="center" vertical="center" wrapText="1"/>
      <protection/>
    </xf>
    <xf numFmtId="193" fontId="49" fillId="7" borderId="24" xfId="0" applyNumberFormat="1" applyFont="1" applyFill="1" applyBorder="1" applyAlignment="1" applyProtection="1">
      <alignment horizontal="center" vertical="center"/>
      <protection locked="0"/>
    </xf>
    <xf numFmtId="193" fontId="49" fillId="7" borderId="26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97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 applyProtection="1">
      <alignment horizontal="center" vertical="center"/>
      <protection/>
    </xf>
    <xf numFmtId="0" fontId="51" fillId="0" borderId="53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4" xfId="0" applyFont="1" applyBorder="1" applyAlignment="1" applyProtection="1">
      <alignment horizontal="right" vertical="center"/>
      <protection/>
    </xf>
    <xf numFmtId="0" fontId="51" fillId="0" borderId="24" xfId="0" applyFont="1" applyBorder="1" applyAlignment="1" applyProtection="1">
      <alignment horizontal="right"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0" fontId="51" fillId="0" borderId="26" xfId="0" applyFont="1" applyFill="1" applyBorder="1" applyAlignment="1" applyProtection="1">
      <alignment horizontal="center" vertical="center" shrinkToFit="1"/>
      <protection/>
    </xf>
    <xf numFmtId="49" fontId="49" fillId="0" borderId="24" xfId="21" applyNumberFormat="1" applyFont="1" applyFill="1" applyBorder="1" applyAlignment="1" applyProtection="1">
      <alignment horizontal="center" vertical="center" wrapText="1"/>
      <protection/>
    </xf>
    <xf numFmtId="49" fontId="49" fillId="0" borderId="26" xfId="21" applyNumberFormat="1" applyFont="1" applyFill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/>
      <protection/>
    </xf>
    <xf numFmtId="0" fontId="49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49" fillId="7" borderId="2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49" xfId="0" applyFont="1" applyBorder="1" applyAlignment="1" applyProtection="1">
      <alignment horizontal="left" vertical="center" shrinkToFit="1"/>
      <protection/>
    </xf>
    <xf numFmtId="0" fontId="51" fillId="0" borderId="4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77" xfId="0" applyFont="1" applyBorder="1" applyAlignment="1" applyProtection="1">
      <alignment horizontal="left" vertical="center" wrapText="1"/>
      <protection/>
    </xf>
    <xf numFmtId="0" fontId="51" fillId="0" borderId="51" xfId="0" applyFont="1" applyBorder="1" applyAlignment="1" applyProtection="1">
      <alignment horizontal="left" vertical="center" wrapText="1"/>
      <protection/>
    </xf>
    <xf numFmtId="0" fontId="51" fillId="0" borderId="93" xfId="0" applyFont="1" applyBorder="1" applyAlignment="1" applyProtection="1">
      <alignment horizontal="left" vertical="center" wrapText="1"/>
      <protection/>
    </xf>
    <xf numFmtId="14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49" fillId="7" borderId="24" xfId="23" applyFont="1" applyFill="1" applyBorder="1" applyAlignment="1" applyProtection="1">
      <alignment horizontal="right" vertical="center" indent="1"/>
      <protection locked="0"/>
    </xf>
    <xf numFmtId="176" fontId="49" fillId="7" borderId="24" xfId="21" applyNumberFormat="1" applyFont="1" applyFill="1" applyBorder="1" applyAlignment="1" applyProtection="1">
      <alignment horizontal="center" vertical="center" wrapText="1"/>
      <protection locked="0"/>
    </xf>
    <xf numFmtId="176" fontId="49" fillId="7" borderId="26" xfId="21" applyNumberFormat="1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left" vertical="center"/>
      <protection/>
    </xf>
    <xf numFmtId="0" fontId="49" fillId="0" borderId="26" xfId="0" applyFont="1" applyBorder="1" applyAlignment="1" applyProtection="1">
      <alignment horizontal="left" vertical="center"/>
      <protection/>
    </xf>
    <xf numFmtId="0" fontId="51" fillId="0" borderId="24" xfId="0" applyFont="1" applyBorder="1" applyAlignment="1" applyProtection="1">
      <alignment horizontal="left" vertical="center" wrapText="1"/>
      <protection/>
    </xf>
    <xf numFmtId="0" fontId="51" fillId="0" borderId="26" xfId="0" applyFont="1" applyBorder="1" applyAlignment="1" applyProtection="1">
      <alignment horizontal="left" vertical="center" wrapText="1"/>
      <protection/>
    </xf>
    <xf numFmtId="179" fontId="48" fillId="0" borderId="66" xfId="23" applyNumberFormat="1" applyFont="1" applyBorder="1" applyAlignment="1" applyProtection="1">
      <alignment horizontal="center" vertical="center" shrinkToFit="1"/>
      <protection/>
    </xf>
    <xf numFmtId="179" fontId="48" fillId="0" borderId="67" xfId="23" applyNumberFormat="1" applyFont="1" applyBorder="1" applyAlignment="1" applyProtection="1">
      <alignment horizontal="center" vertical="center" shrinkToFit="1"/>
      <protection/>
    </xf>
    <xf numFmtId="179" fontId="48" fillId="0" borderId="4" xfId="23" applyNumberFormat="1" applyFont="1" applyBorder="1" applyAlignment="1" applyProtection="1">
      <alignment horizontal="center" vertical="center" shrinkToFit="1"/>
      <protection/>
    </xf>
    <xf numFmtId="179" fontId="48" fillId="0" borderId="24" xfId="23" applyNumberFormat="1" applyFont="1" applyBorder="1" applyAlignment="1" applyProtection="1">
      <alignment horizontal="center" vertical="center" shrinkToFit="1"/>
      <protection/>
    </xf>
    <xf numFmtId="0" fontId="8" fillId="0" borderId="17" xfId="23" applyFont="1" applyBorder="1" applyAlignment="1" applyProtection="1">
      <alignment horizontal="center" vertical="center" wrapText="1"/>
      <protection/>
    </xf>
    <xf numFmtId="0" fontId="8" fillId="0" borderId="70" xfId="23" applyFont="1" applyBorder="1" applyAlignment="1" applyProtection="1">
      <alignment horizontal="center" vertical="center" wrapText="1"/>
      <protection/>
    </xf>
    <xf numFmtId="177" fontId="10" fillId="7" borderId="3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79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26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10" xfId="23" applyNumberFormat="1" applyFont="1" applyFill="1" applyBorder="1" applyAlignment="1" applyProtection="1">
      <alignment horizontal="center" vertical="center" shrinkToFit="1"/>
      <protection locked="0"/>
    </xf>
    <xf numFmtId="204" fontId="111" fillId="0" borderId="17" xfId="23" applyNumberFormat="1" applyFont="1" applyFill="1" applyBorder="1" applyAlignment="1" applyProtection="1">
      <alignment horizontal="center" vertical="center" wrapText="1"/>
      <protection/>
    </xf>
    <xf numFmtId="204" fontId="111" fillId="0" borderId="101" xfId="23" applyNumberFormat="1" applyFont="1" applyFill="1" applyBorder="1" applyAlignment="1" applyProtection="1">
      <alignment horizontal="center" vertical="center" wrapText="1"/>
      <protection/>
    </xf>
    <xf numFmtId="205" fontId="48" fillId="0" borderId="66" xfId="23" applyNumberFormat="1" applyFont="1" applyBorder="1" applyAlignment="1" applyProtection="1">
      <alignment horizontal="center" vertical="center" wrapText="1"/>
      <protection/>
    </xf>
    <xf numFmtId="205" fontId="48" fillId="0" borderId="102" xfId="23" applyNumberFormat="1" applyFont="1" applyBorder="1" applyAlignment="1" applyProtection="1">
      <alignment horizontal="center" vertical="center" wrapText="1"/>
      <protection/>
    </xf>
    <xf numFmtId="0" fontId="8" fillId="0" borderId="79" xfId="23" applyFont="1" applyBorder="1" applyAlignment="1" applyProtection="1">
      <alignment horizontal="center" vertical="center" shrinkToFit="1"/>
      <protection/>
    </xf>
    <xf numFmtId="0" fontId="8" fillId="0" borderId="24" xfId="23" applyFont="1" applyBorder="1" applyAlignment="1" applyProtection="1">
      <alignment horizontal="center" vertical="center" shrinkToFit="1"/>
      <protection/>
    </xf>
    <xf numFmtId="0" fontId="8" fillId="0" borderId="42" xfId="23" applyFont="1" applyBorder="1" applyAlignment="1" applyProtection="1">
      <alignment horizontal="center" vertical="center" shrinkToFit="1"/>
      <protection/>
    </xf>
    <xf numFmtId="0" fontId="8" fillId="0" borderId="103" xfId="23" applyFont="1" applyBorder="1" applyAlignment="1" applyProtection="1">
      <alignment horizontal="center" vertical="center" shrinkToFit="1"/>
      <protection/>
    </xf>
    <xf numFmtId="0" fontId="8" fillId="0" borderId="67" xfId="23" applyFont="1" applyBorder="1" applyAlignment="1" applyProtection="1">
      <alignment horizontal="center" vertical="center" shrinkToFit="1"/>
      <protection/>
    </xf>
    <xf numFmtId="0" fontId="8" fillId="0" borderId="102" xfId="23" applyFont="1" applyBorder="1" applyAlignment="1" applyProtection="1">
      <alignment horizontal="center" vertical="center" shrinkToFit="1"/>
      <protection/>
    </xf>
    <xf numFmtId="0" fontId="8" fillId="0" borderId="104" xfId="23" applyFont="1" applyBorder="1" applyAlignment="1" applyProtection="1">
      <alignment horizontal="center" vertical="center" wrapText="1"/>
      <protection/>
    </xf>
    <xf numFmtId="179" fontId="48" fillId="0" borderId="79" xfId="23" applyNumberFormat="1" applyFont="1" applyBorder="1" applyAlignment="1" applyProtection="1">
      <alignment horizontal="center" vertical="center" shrinkToFit="1"/>
      <protection/>
    </xf>
    <xf numFmtId="179" fontId="48" fillId="0" borderId="103" xfId="23" applyNumberFormat="1" applyFont="1" applyBorder="1" applyAlignment="1" applyProtection="1">
      <alignment horizontal="center" vertical="center" shrinkToFit="1"/>
      <protection/>
    </xf>
    <xf numFmtId="177" fontId="10" fillId="7" borderId="71" xfId="23" applyNumberFormat="1" applyFont="1" applyFill="1" applyBorder="1" applyAlignment="1" applyProtection="1">
      <alignment horizontal="center" vertical="center" shrinkToFit="1"/>
      <protection locked="0"/>
    </xf>
    <xf numFmtId="177" fontId="10" fillId="7" borderId="54" xfId="23" applyNumberFormat="1" applyFont="1" applyFill="1" applyBorder="1" applyAlignment="1" applyProtection="1">
      <alignment horizontal="center" vertical="center" shrinkToFit="1"/>
      <protection locked="0"/>
    </xf>
    <xf numFmtId="181" fontId="53" fillId="0" borderId="15" xfId="23" applyNumberFormat="1" applyFont="1" applyFill="1" applyBorder="1" applyAlignment="1" applyProtection="1">
      <alignment horizontal="center" vertical="center" shrinkToFit="1"/>
      <protection locked="0"/>
    </xf>
    <xf numFmtId="0" fontId="84" fillId="0" borderId="3" xfId="23" applyFont="1" applyFill="1" applyBorder="1" applyAlignment="1" applyProtection="1">
      <alignment horizontal="center" vertical="center" shrinkToFit="1"/>
      <protection/>
    </xf>
    <xf numFmtId="0" fontId="5" fillId="0" borderId="3" xfId="23" applyBorder="1" applyAlignment="1" applyProtection="1">
      <alignment horizontal="center" vertical="center"/>
      <protection/>
    </xf>
    <xf numFmtId="179" fontId="48" fillId="0" borderId="102" xfId="23" applyNumberFormat="1" applyFont="1" applyBorder="1" applyAlignment="1" applyProtection="1">
      <alignment horizontal="center" vertical="center" shrinkToFit="1"/>
      <protection/>
    </xf>
    <xf numFmtId="179" fontId="48" fillId="0" borderId="42" xfId="23" applyNumberFormat="1" applyFont="1" applyBorder="1" applyAlignment="1" applyProtection="1">
      <alignment horizontal="center" vertical="center" shrinkToFit="1"/>
      <protection/>
    </xf>
    <xf numFmtId="0" fontId="8" fillId="0" borderId="101" xfId="23" applyFont="1" applyBorder="1" applyAlignment="1" applyProtection="1">
      <alignment horizontal="center" vertical="center" wrapText="1"/>
      <protection/>
    </xf>
    <xf numFmtId="0" fontId="82" fillId="0" borderId="0" xfId="23" applyFont="1" applyFill="1" applyBorder="1" applyAlignment="1" applyProtection="1">
      <alignment horizontal="left" vertical="center" shrinkToFit="1"/>
      <protection/>
    </xf>
    <xf numFmtId="0" fontId="56" fillId="0" borderId="0" xfId="23" applyFont="1" applyFill="1" applyBorder="1" applyAlignment="1" applyProtection="1">
      <alignment horizontal="left" vertical="center" shrinkToFit="1"/>
      <protection/>
    </xf>
    <xf numFmtId="0" fontId="20" fillId="0" borderId="0" xfId="23" applyFont="1" applyFill="1" applyBorder="1" applyAlignment="1" applyProtection="1">
      <alignment horizontal="center" vertical="center" shrinkToFit="1"/>
      <protection/>
    </xf>
    <xf numFmtId="0" fontId="8" fillId="0" borderId="69" xfId="23" applyFont="1" applyBorder="1" applyAlignment="1" applyProtection="1">
      <alignment horizontal="center" vertical="center" wrapText="1"/>
      <protection/>
    </xf>
    <xf numFmtId="0" fontId="8" fillId="0" borderId="10" xfId="23" applyFont="1" applyBorder="1" applyAlignment="1" applyProtection="1">
      <alignment horizontal="center" vertical="center" wrapText="1"/>
      <protection/>
    </xf>
    <xf numFmtId="0" fontId="8" fillId="0" borderId="16" xfId="23" applyFont="1" applyBorder="1" applyAlignment="1" applyProtection="1">
      <alignment horizontal="center" vertical="center" wrapText="1"/>
      <protection/>
    </xf>
    <xf numFmtId="0" fontId="8" fillId="0" borderId="53" xfId="23" applyFont="1" applyBorder="1" applyAlignment="1" applyProtection="1">
      <alignment horizontal="center" vertical="center" wrapText="1"/>
      <protection/>
    </xf>
    <xf numFmtId="0" fontId="8" fillId="0" borderId="49" xfId="23" applyFont="1" applyBorder="1" applyAlignment="1" applyProtection="1">
      <alignment horizontal="center" vertical="center" wrapText="1"/>
      <protection/>
    </xf>
    <xf numFmtId="0" fontId="8" fillId="0" borderId="53" xfId="23" applyFont="1" applyBorder="1" applyAlignment="1" applyProtection="1">
      <alignment horizontal="center" vertical="center" shrinkToFit="1"/>
      <protection/>
    </xf>
    <xf numFmtId="0" fontId="8" fillId="0" borderId="49" xfId="23" applyFont="1" applyBorder="1" applyAlignment="1" applyProtection="1">
      <alignment horizontal="center" vertical="center" shrinkToFit="1"/>
      <protection/>
    </xf>
    <xf numFmtId="188" fontId="8" fillId="0" borderId="53" xfId="23" applyNumberFormat="1" applyFont="1" applyBorder="1" applyAlignment="1" applyProtection="1">
      <alignment horizontal="center" vertical="center" shrinkToFit="1"/>
      <protection/>
    </xf>
    <xf numFmtId="188" fontId="8" fillId="0" borderId="49" xfId="23" applyNumberFormat="1" applyFont="1" applyBorder="1" applyAlignment="1" applyProtection="1">
      <alignment horizontal="center" vertical="center" shrinkToFit="1"/>
      <protection/>
    </xf>
    <xf numFmtId="188" fontId="48" fillId="0" borderId="80" xfId="23" applyNumberFormat="1" applyFont="1" applyBorder="1" applyAlignment="1" applyProtection="1">
      <alignment horizontal="center" vertical="center" shrinkToFit="1"/>
      <protection/>
    </xf>
    <xf numFmtId="188" fontId="48" fillId="0" borderId="38" xfId="23" applyNumberFormat="1" applyFont="1" applyBorder="1" applyAlignment="1" applyProtection="1">
      <alignment horizontal="center" vertical="center" shrinkToFit="1"/>
      <protection/>
    </xf>
    <xf numFmtId="0" fontId="8" fillId="0" borderId="54" xfId="23" applyFont="1" applyBorder="1" applyAlignment="1" applyProtection="1">
      <alignment horizontal="center" vertical="center" wrapText="1"/>
      <protection/>
    </xf>
    <xf numFmtId="0" fontId="8" fillId="0" borderId="54" xfId="23" applyFont="1" applyBorder="1" applyAlignment="1" applyProtection="1">
      <alignment horizontal="center" vertical="center" shrinkToFit="1"/>
      <protection/>
    </xf>
    <xf numFmtId="188" fontId="8" fillId="0" borderId="54" xfId="23" applyNumberFormat="1" applyFont="1" applyBorder="1" applyAlignment="1" applyProtection="1">
      <alignment horizontal="center" vertical="center" shrinkToFit="1"/>
      <protection/>
    </xf>
    <xf numFmtId="188" fontId="48" fillId="0" borderId="72" xfId="23" applyNumberFormat="1" applyFont="1" applyBorder="1" applyAlignment="1" applyProtection="1">
      <alignment horizontal="center" vertical="center" shrinkToFit="1"/>
      <protection/>
    </xf>
    <xf numFmtId="177" fontId="10" fillId="7" borderId="23" xfId="23" applyNumberFormat="1" applyFont="1" applyFill="1" applyBorder="1" applyAlignment="1" applyProtection="1">
      <alignment horizontal="center" vertical="center" shrinkToFit="1"/>
      <protection locked="0"/>
    </xf>
    <xf numFmtId="0" fontId="84" fillId="0" borderId="15" xfId="23" applyFont="1" applyFill="1" applyBorder="1" applyAlignment="1" applyProtection="1">
      <alignment horizontal="center" vertical="center" wrapText="1" shrinkToFit="1"/>
      <protection/>
    </xf>
    <xf numFmtId="0" fontId="84" fillId="0" borderId="15" xfId="23" applyFont="1" applyFill="1" applyBorder="1" applyAlignment="1" applyProtection="1">
      <alignment horizontal="center" vertical="center" shrinkToFit="1"/>
      <protection/>
    </xf>
    <xf numFmtId="0" fontId="11" fillId="0" borderId="105" xfId="21" applyFont="1" applyBorder="1" applyAlignment="1" applyProtection="1">
      <alignment horizontal="center" vertical="center"/>
      <protection/>
    </xf>
    <xf numFmtId="0" fontId="11" fillId="0" borderId="106" xfId="21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179" fontId="53" fillId="14" borderId="107" xfId="23" applyNumberFormat="1" applyFont="1" applyFill="1" applyBorder="1" applyAlignment="1" applyProtection="1">
      <alignment horizontal="center" vertical="center"/>
      <protection/>
    </xf>
    <xf numFmtId="179" fontId="53" fillId="14" borderId="108" xfId="23" applyNumberFormat="1" applyFont="1" applyFill="1" applyBorder="1" applyAlignment="1" applyProtection="1">
      <alignment horizontal="center" vertical="center"/>
      <protection/>
    </xf>
    <xf numFmtId="0" fontId="5" fillId="0" borderId="57" xfId="23" applyBorder="1" applyAlignment="1" applyProtection="1">
      <alignment horizontal="center" vertical="center"/>
      <protection/>
    </xf>
    <xf numFmtId="0" fontId="84" fillId="0" borderId="58" xfId="23" applyFont="1" applyFill="1" applyBorder="1" applyAlignment="1" applyProtection="1">
      <alignment horizontal="center" vertical="center" wrapText="1" shrinkToFit="1"/>
      <protection/>
    </xf>
    <xf numFmtId="0" fontId="84" fillId="0" borderId="94" xfId="23" applyFont="1" applyFill="1" applyBorder="1" applyAlignment="1" applyProtection="1">
      <alignment horizontal="center" vertical="center" shrinkToFit="1"/>
      <protection/>
    </xf>
    <xf numFmtId="0" fontId="84" fillId="0" borderId="25" xfId="23" applyFont="1" applyFill="1" applyBorder="1" applyAlignment="1" applyProtection="1">
      <alignment horizontal="center" vertical="center" shrinkToFit="1"/>
      <protection/>
    </xf>
    <xf numFmtId="0" fontId="84" fillId="0" borderId="93" xfId="23" applyFont="1" applyFill="1" applyBorder="1" applyAlignment="1" applyProtection="1">
      <alignment horizontal="center" vertical="center" shrinkToFit="1"/>
      <protection/>
    </xf>
    <xf numFmtId="0" fontId="8" fillId="3" borderId="3" xfId="23" applyFont="1" applyFill="1" applyBorder="1" applyAlignment="1" applyProtection="1">
      <alignment horizontal="center" vertical="center" wrapText="1"/>
      <protection/>
    </xf>
    <xf numFmtId="179" fontId="8" fillId="5" borderId="25" xfId="23" applyNumberFormat="1" applyFont="1" applyFill="1" applyBorder="1" applyAlignment="1" applyProtection="1">
      <alignment horizontal="center" vertical="center" shrinkToFit="1"/>
      <protection/>
    </xf>
    <xf numFmtId="179" fontId="8" fillId="5" borderId="93" xfId="23" applyNumberFormat="1" applyFont="1" applyFill="1" applyBorder="1" applyAlignment="1" applyProtection="1">
      <alignment horizontal="center" vertical="center" shrinkToFit="1"/>
      <protection/>
    </xf>
    <xf numFmtId="0" fontId="5" fillId="6" borderId="4" xfId="23" applyFont="1" applyFill="1" applyBorder="1" applyAlignment="1" applyProtection="1">
      <alignment horizontal="center" vertical="center"/>
      <protection/>
    </xf>
    <xf numFmtId="0" fontId="5" fillId="6" borderId="26" xfId="23" applyFont="1" applyFill="1" applyBorder="1" applyAlignment="1" applyProtection="1">
      <alignment horizontal="center" vertical="center"/>
      <protection/>
    </xf>
    <xf numFmtId="0" fontId="8" fillId="9" borderId="3" xfId="23" applyFont="1" applyFill="1" applyBorder="1" applyAlignment="1" applyProtection="1">
      <alignment horizontal="center" vertical="center" wrapText="1"/>
      <protection/>
    </xf>
    <xf numFmtId="179" fontId="8" fillId="5" borderId="66" xfId="23" applyNumberFormat="1" applyFont="1" applyFill="1" applyBorder="1" applyAlignment="1" applyProtection="1">
      <alignment horizontal="center" vertical="center" shrinkToFit="1"/>
      <protection/>
    </xf>
    <xf numFmtId="179" fontId="8" fillId="5" borderId="56" xfId="23" applyNumberFormat="1" applyFont="1" applyFill="1" applyBorder="1" applyAlignment="1" applyProtection="1">
      <alignment horizontal="center" vertical="center" shrinkToFit="1"/>
      <protection/>
    </xf>
    <xf numFmtId="192" fontId="8" fillId="3" borderId="4" xfId="23" applyNumberFormat="1" applyFont="1" applyFill="1" applyBorder="1" applyAlignment="1" applyProtection="1">
      <alignment horizontal="center" vertical="center" wrapText="1"/>
      <protection/>
    </xf>
    <xf numFmtId="192" fontId="8" fillId="3" borderId="26" xfId="23" applyNumberFormat="1" applyFont="1" applyFill="1" applyBorder="1" applyAlignment="1" applyProtection="1">
      <alignment horizontal="center" vertical="center" wrapText="1"/>
      <protection/>
    </xf>
    <xf numFmtId="0" fontId="11" fillId="0" borderId="4" xfId="21" applyNumberFormat="1" applyFont="1" applyBorder="1" applyAlignment="1" applyProtection="1">
      <alignment horizontal="center" vertical="center"/>
      <protection/>
    </xf>
    <xf numFmtId="0" fontId="11" fillId="0" borderId="26" xfId="21" applyNumberFormat="1" applyFont="1" applyBorder="1" applyAlignment="1" applyProtection="1">
      <alignment horizontal="center" vertical="center"/>
      <protection/>
    </xf>
    <xf numFmtId="201" fontId="11" fillId="0" borderId="4" xfId="21" applyNumberFormat="1" applyFont="1" applyBorder="1" applyAlignment="1" applyProtection="1">
      <alignment horizontal="center" vertical="center"/>
      <protection/>
    </xf>
    <xf numFmtId="201" fontId="11" fillId="0" borderId="26" xfId="21" applyNumberFormat="1" applyFont="1" applyBorder="1" applyAlignment="1" applyProtection="1">
      <alignment horizontal="center" vertical="center"/>
      <protection/>
    </xf>
    <xf numFmtId="201" fontId="11" fillId="4" borderId="4" xfId="21" applyNumberFormat="1" applyFont="1" applyFill="1" applyBorder="1" applyAlignment="1" applyProtection="1">
      <alignment horizontal="center" vertical="center"/>
      <protection/>
    </xf>
    <xf numFmtId="201" fontId="11" fillId="4" borderId="26" xfId="21" applyNumberFormat="1" applyFont="1" applyFill="1" applyBorder="1" applyAlignment="1" applyProtection="1">
      <alignment horizontal="center" vertical="center"/>
      <protection/>
    </xf>
    <xf numFmtId="0" fontId="5" fillId="0" borderId="3" xfId="23" applyNumberFormat="1" applyFont="1" applyBorder="1" applyAlignment="1" applyProtection="1">
      <alignment horizontal="center" vertical="center"/>
      <protection/>
    </xf>
    <xf numFmtId="0" fontId="19" fillId="0" borderId="20" xfId="23" applyFont="1" applyFill="1" applyBorder="1" applyAlignment="1" applyProtection="1">
      <alignment horizontal="center" vertical="center" wrapText="1"/>
      <protection/>
    </xf>
    <xf numFmtId="0" fontId="19" fillId="0" borderId="61" xfId="23" applyFont="1" applyFill="1" applyBorder="1" applyAlignment="1" applyProtection="1">
      <alignment horizontal="center" vertical="center" wrapText="1"/>
      <protection/>
    </xf>
    <xf numFmtId="0" fontId="5" fillId="0" borderId="30" xfId="23" applyBorder="1" applyAlignment="1" applyProtection="1">
      <alignment horizontal="center" vertical="center"/>
      <protection/>
    </xf>
    <xf numFmtId="0" fontId="5" fillId="0" borderId="0" xfId="23" applyBorder="1" applyAlignment="1" applyProtection="1">
      <alignment horizontal="center" vertical="center"/>
      <protection/>
    </xf>
    <xf numFmtId="188" fontId="8" fillId="5" borderId="33" xfId="23" applyNumberFormat="1" applyFont="1" applyFill="1" applyBorder="1" applyAlignment="1" applyProtection="1">
      <alignment horizontal="center" vertical="center" shrinkToFit="1"/>
      <protection/>
    </xf>
    <xf numFmtId="0" fontId="8" fillId="0" borderId="33" xfId="23" applyFont="1" applyFill="1" applyBorder="1" applyAlignment="1" applyProtection="1">
      <alignment horizontal="center" vertical="center" wrapText="1"/>
      <protection/>
    </xf>
    <xf numFmtId="0" fontId="35" fillId="5" borderId="109" xfId="23" applyFont="1" applyFill="1" applyBorder="1" applyAlignment="1" applyProtection="1">
      <alignment horizontal="center" vertical="center" wrapText="1"/>
      <protection/>
    </xf>
    <xf numFmtId="0" fontId="35" fillId="5" borderId="36" xfId="23" applyFont="1" applyFill="1" applyBorder="1" applyAlignment="1" applyProtection="1">
      <alignment horizontal="center" vertical="center" wrapText="1"/>
      <protection/>
    </xf>
    <xf numFmtId="0" fontId="35" fillId="5" borderId="55" xfId="23" applyFont="1" applyFill="1" applyBorder="1" applyAlignment="1" applyProtection="1">
      <alignment horizontal="center" vertical="center" wrapText="1"/>
      <protection/>
    </xf>
    <xf numFmtId="10" fontId="48" fillId="4" borderId="110" xfId="20" applyNumberFormat="1" applyFont="1" applyFill="1" applyBorder="1" applyAlignment="1" applyProtection="1">
      <alignment horizontal="center" vertical="center" shrinkToFit="1"/>
      <protection/>
    </xf>
    <xf numFmtId="10" fontId="48" fillId="4" borderId="111" xfId="20" applyNumberFormat="1" applyFont="1" applyFill="1" applyBorder="1" applyAlignment="1" applyProtection="1">
      <alignment horizontal="center" vertical="center" shrinkToFit="1"/>
      <protection/>
    </xf>
    <xf numFmtId="0" fontId="53" fillId="0" borderId="3" xfId="23" applyFont="1" applyBorder="1" applyAlignment="1" applyProtection="1">
      <alignment horizontal="center" vertical="center"/>
      <protection/>
    </xf>
    <xf numFmtId="0" fontId="8" fillId="3" borderId="70" xfId="23" applyFont="1" applyFill="1" applyBorder="1" applyAlignment="1" applyProtection="1">
      <alignment horizontal="center" vertical="center"/>
      <protection/>
    </xf>
    <xf numFmtId="0" fontId="8" fillId="3" borderId="101" xfId="23" applyFont="1" applyFill="1" applyBorder="1" applyAlignment="1" applyProtection="1">
      <alignment horizontal="center" vertical="center"/>
      <protection/>
    </xf>
    <xf numFmtId="180" fontId="8" fillId="3" borderId="15" xfId="23" applyNumberFormat="1" applyFont="1" applyFill="1" applyBorder="1" applyAlignment="1" applyProtection="1">
      <alignment horizontal="center" vertical="center" wrapText="1"/>
      <protection/>
    </xf>
    <xf numFmtId="180" fontId="8" fillId="3" borderId="43" xfId="23" applyNumberFormat="1" applyFont="1" applyFill="1" applyBorder="1" applyAlignment="1" applyProtection="1">
      <alignment horizontal="center" vertical="center"/>
      <protection/>
    </xf>
    <xf numFmtId="202" fontId="111" fillId="20" borderId="4" xfId="23" applyNumberFormat="1" applyFont="1" applyFill="1" applyBorder="1" applyAlignment="1" applyProtection="1">
      <alignment horizontal="center" vertical="center"/>
      <protection/>
    </xf>
    <xf numFmtId="202" fontId="111" fillId="20" borderId="26" xfId="23" applyNumberFormat="1" applyFont="1" applyFill="1" applyBorder="1" applyAlignment="1" applyProtection="1">
      <alignment horizontal="center" vertical="center"/>
      <protection/>
    </xf>
    <xf numFmtId="0" fontId="8" fillId="0" borderId="3" xfId="23" applyFont="1" applyFill="1" applyBorder="1" applyAlignment="1" applyProtection="1">
      <alignment horizontal="center" vertical="center" wrapText="1"/>
      <protection/>
    </xf>
    <xf numFmtId="179" fontId="111" fillId="0" borderId="112" xfId="23" applyNumberFormat="1" applyFont="1" applyBorder="1" applyAlignment="1" applyProtection="1">
      <alignment horizontal="center" vertical="center" wrapText="1"/>
      <protection/>
    </xf>
    <xf numFmtId="179" fontId="111" fillId="0" borderId="113" xfId="23" applyNumberFormat="1" applyFont="1" applyBorder="1" applyAlignment="1" applyProtection="1">
      <alignment horizontal="center" vertical="center" wrapText="1"/>
      <protection/>
    </xf>
    <xf numFmtId="179" fontId="111" fillId="0" borderId="38" xfId="23" applyNumberFormat="1" applyFont="1" applyBorder="1" applyAlignment="1" applyProtection="1">
      <alignment horizontal="center" vertical="center" wrapText="1"/>
      <protection/>
    </xf>
    <xf numFmtId="0" fontId="8" fillId="12" borderId="3" xfId="23" applyFont="1" applyFill="1" applyBorder="1" applyAlignment="1" applyProtection="1">
      <alignment horizontal="center" vertical="center"/>
      <protection/>
    </xf>
    <xf numFmtId="0" fontId="8" fillId="0" borderId="3" xfId="23" applyFont="1" applyBorder="1" applyAlignment="1" applyProtection="1">
      <alignment horizontal="center" vertical="center" wrapText="1"/>
      <protection/>
    </xf>
    <xf numFmtId="0" fontId="53" fillId="0" borderId="4" xfId="23" applyFont="1" applyBorder="1" applyAlignment="1" applyProtection="1">
      <alignment horizontal="center" vertical="center"/>
      <protection/>
    </xf>
    <xf numFmtId="0" fontId="8" fillId="0" borderId="58" xfId="23" applyFont="1" applyFill="1" applyBorder="1" applyAlignment="1" applyProtection="1">
      <alignment horizontal="center" vertical="center" wrapText="1"/>
      <protection/>
    </xf>
    <xf numFmtId="0" fontId="8" fillId="0" borderId="57" xfId="23" applyFont="1" applyFill="1" applyBorder="1" applyAlignment="1" applyProtection="1">
      <alignment horizontal="center" vertical="center" wrapText="1"/>
      <protection/>
    </xf>
    <xf numFmtId="0" fontId="8" fillId="0" borderId="94" xfId="23" applyFont="1" applyFill="1" applyBorder="1" applyAlignment="1" applyProtection="1">
      <alignment horizontal="center" vertical="center" wrapText="1"/>
      <protection/>
    </xf>
    <xf numFmtId="0" fontId="8" fillId="0" borderId="25" xfId="23" applyFont="1" applyFill="1" applyBorder="1" applyAlignment="1" applyProtection="1">
      <alignment horizontal="center" vertical="center" wrapText="1"/>
      <protection/>
    </xf>
    <xf numFmtId="0" fontId="8" fillId="0" borderId="51" xfId="23" applyFont="1" applyFill="1" applyBorder="1" applyAlignment="1" applyProtection="1">
      <alignment horizontal="center" vertical="center" wrapText="1"/>
      <protection/>
    </xf>
    <xf numFmtId="0" fontId="8" fillId="0" borderId="93" xfId="23" applyFont="1" applyFill="1" applyBorder="1" applyAlignment="1" applyProtection="1">
      <alignment horizontal="center" vertical="center" wrapText="1"/>
      <protection/>
    </xf>
    <xf numFmtId="0" fontId="5" fillId="0" borderId="66" xfId="23" applyFont="1" applyBorder="1" applyAlignment="1" applyProtection="1">
      <alignment horizontal="center" vertical="center"/>
      <protection locked="0"/>
    </xf>
    <xf numFmtId="0" fontId="5" fillId="0" borderId="102" xfId="23" applyFont="1" applyBorder="1" applyAlignment="1" applyProtection="1">
      <alignment horizontal="center" vertical="center"/>
      <protection locked="0"/>
    </xf>
    <xf numFmtId="0" fontId="48" fillId="3" borderId="15" xfId="23" applyNumberFormat="1" applyFont="1" applyFill="1" applyBorder="1" applyAlignment="1" applyProtection="1">
      <alignment horizontal="center" vertical="center" shrinkToFit="1"/>
      <protection/>
    </xf>
    <xf numFmtId="10" fontId="48" fillId="4" borderId="114" xfId="20" applyNumberFormat="1" applyFont="1" applyFill="1" applyBorder="1" applyAlignment="1" applyProtection="1">
      <alignment horizontal="center" vertical="center" shrinkToFit="1"/>
      <protection/>
    </xf>
    <xf numFmtId="183" fontId="85" fillId="0" borderId="115" xfId="23" applyNumberFormat="1" applyFont="1" applyFill="1" applyBorder="1" applyAlignment="1" applyProtection="1">
      <alignment horizontal="center" vertical="center" wrapText="1"/>
      <protection/>
    </xf>
    <xf numFmtId="183" fontId="85" fillId="0" borderId="116" xfId="23" applyNumberFormat="1" applyFont="1" applyFill="1" applyBorder="1" applyAlignment="1" applyProtection="1">
      <alignment horizontal="center" vertical="center" wrapText="1"/>
      <protection/>
    </xf>
    <xf numFmtId="183" fontId="85" fillId="0" borderId="117" xfId="23" applyNumberFormat="1" applyFont="1" applyFill="1" applyBorder="1" applyAlignment="1" applyProtection="1">
      <alignment horizontal="center" vertical="center" wrapText="1"/>
      <protection/>
    </xf>
    <xf numFmtId="0" fontId="85" fillId="0" borderId="46" xfId="23" applyFont="1" applyFill="1" applyBorder="1" applyAlignment="1" applyProtection="1">
      <alignment horizontal="center" vertical="center" wrapText="1"/>
      <protection/>
    </xf>
    <xf numFmtId="0" fontId="85" fillId="0" borderId="20" xfId="23" applyFont="1" applyFill="1" applyBorder="1" applyAlignment="1" applyProtection="1">
      <alignment horizontal="center" vertical="center" wrapText="1"/>
      <protection/>
    </xf>
    <xf numFmtId="188" fontId="48" fillId="0" borderId="47" xfId="23" applyNumberFormat="1" applyFont="1" applyFill="1" applyBorder="1" applyAlignment="1" applyProtection="1">
      <alignment horizontal="center" vertical="center" shrinkToFit="1"/>
      <protection/>
    </xf>
    <xf numFmtId="188" fontId="48" fillId="0" borderId="50" xfId="23" applyNumberFormat="1" applyFont="1" applyFill="1" applyBorder="1" applyAlignment="1" applyProtection="1">
      <alignment horizontal="center" vertical="center" shrinkToFit="1"/>
      <protection/>
    </xf>
    <xf numFmtId="0" fontId="84" fillId="0" borderId="12" xfId="23" applyFont="1" applyFill="1" applyBorder="1" applyAlignment="1" applyProtection="1">
      <alignment horizontal="center" vertical="center" wrapText="1" shrinkToFit="1"/>
      <protection/>
    </xf>
    <xf numFmtId="0" fontId="84" fillId="0" borderId="14" xfId="23" applyFont="1" applyFill="1" applyBorder="1" applyAlignment="1" applyProtection="1">
      <alignment horizontal="center" vertical="center" shrinkToFit="1"/>
      <protection/>
    </xf>
    <xf numFmtId="206" fontId="48" fillId="0" borderId="75" xfId="23" applyNumberFormat="1" applyFont="1" applyFill="1" applyBorder="1" applyAlignment="1" applyProtection="1">
      <alignment horizontal="center" vertical="center" shrinkToFit="1"/>
      <protection/>
    </xf>
    <xf numFmtId="206" fontId="48" fillId="0" borderId="76" xfId="23" applyNumberFormat="1" applyFont="1" applyFill="1" applyBorder="1" applyAlignment="1" applyProtection="1">
      <alignment horizontal="center" vertical="center" shrinkToFit="1"/>
      <protection/>
    </xf>
    <xf numFmtId="206" fontId="35" fillId="0" borderId="35" xfId="23" applyNumberFormat="1" applyFont="1" applyFill="1" applyBorder="1" applyAlignment="1" applyProtection="1">
      <alignment horizontal="center" vertical="center" shrinkToFit="1"/>
      <protection/>
    </xf>
    <xf numFmtId="206" fontId="35" fillId="0" borderId="37" xfId="23" applyNumberFormat="1" applyFont="1" applyFill="1" applyBorder="1" applyAlignment="1" applyProtection="1">
      <alignment horizontal="center" vertical="center" shrinkToFit="1"/>
      <protection/>
    </xf>
    <xf numFmtId="206" fontId="35" fillId="0" borderId="32" xfId="23" applyNumberFormat="1" applyFont="1" applyFill="1" applyBorder="1" applyAlignment="1" applyProtection="1">
      <alignment horizontal="center" vertical="center" shrinkToFit="1"/>
      <protection/>
    </xf>
    <xf numFmtId="206" fontId="35" fillId="0" borderId="34" xfId="23" applyNumberFormat="1" applyFont="1" applyFill="1" applyBorder="1" applyAlignment="1" applyProtection="1">
      <alignment horizontal="center" vertical="center" shrinkToFit="1"/>
      <protection/>
    </xf>
    <xf numFmtId="0" fontId="85" fillId="0" borderId="61" xfId="23" applyFont="1" applyFill="1" applyBorder="1" applyAlignment="1" applyProtection="1">
      <alignment horizontal="center" vertical="center" wrapText="1"/>
      <protection/>
    </xf>
    <xf numFmtId="0" fontId="5" fillId="0" borderId="56" xfId="23" applyFont="1" applyBorder="1" applyAlignment="1" applyProtection="1">
      <alignment horizontal="center" vertical="center" shrinkToFit="1"/>
      <protection/>
    </xf>
    <xf numFmtId="0" fontId="5" fillId="0" borderId="59" xfId="23" applyFont="1" applyBorder="1" applyAlignment="1" applyProtection="1">
      <alignment horizontal="center" vertical="center" shrinkToFit="1"/>
      <protection/>
    </xf>
    <xf numFmtId="0" fontId="5" fillId="0" borderId="29" xfId="23" applyFont="1" applyBorder="1" applyAlignment="1" applyProtection="1">
      <alignment horizontal="center" vertical="center" shrinkToFit="1"/>
      <protection/>
    </xf>
    <xf numFmtId="0" fontId="49" fillId="3" borderId="4" xfId="0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/>
    </xf>
    <xf numFmtId="0" fontId="49" fillId="3" borderId="26" xfId="0" applyFont="1" applyFill="1" applyBorder="1" applyAlignment="1">
      <alignment horizontal="center" vertical="center"/>
    </xf>
    <xf numFmtId="200" fontId="48" fillId="4" borderId="118" xfId="20" applyNumberFormat="1" applyFont="1" applyFill="1" applyBorder="1" applyAlignment="1" applyProtection="1">
      <alignment horizontal="center" vertical="center"/>
      <protection/>
    </xf>
    <xf numFmtId="200" fontId="48" fillId="4" borderId="14" xfId="20" applyNumberFormat="1" applyFont="1" applyFill="1" applyBorder="1" applyAlignment="1" applyProtection="1">
      <alignment horizontal="center" vertical="center"/>
      <protection/>
    </xf>
    <xf numFmtId="0" fontId="120" fillId="0" borderId="119" xfId="23" applyFont="1" applyBorder="1" applyAlignment="1" applyProtection="1">
      <alignment horizontal="center" vertical="center" wrapText="1"/>
      <protection/>
    </xf>
    <xf numFmtId="0" fontId="120" fillId="0" borderId="120" xfId="23" applyFont="1" applyBorder="1" applyAlignment="1" applyProtection="1">
      <alignment horizontal="center" vertical="center" wrapText="1"/>
      <protection/>
    </xf>
    <xf numFmtId="0" fontId="120" fillId="0" borderId="121" xfId="23" applyFont="1" applyBorder="1" applyAlignment="1" applyProtection="1">
      <alignment horizontal="center" vertical="center" wrapText="1"/>
      <protection/>
    </xf>
    <xf numFmtId="0" fontId="84" fillId="0" borderId="16" xfId="23" applyFont="1" applyFill="1" applyBorder="1" applyAlignment="1" applyProtection="1">
      <alignment horizontal="center" vertical="center" wrapText="1" shrinkToFit="1"/>
      <protection/>
    </xf>
    <xf numFmtId="0" fontId="84" fillId="0" borderId="29" xfId="23" applyFont="1" applyFill="1" applyBorder="1" applyAlignment="1" applyProtection="1">
      <alignment horizontal="center" vertical="center" shrinkToFit="1"/>
      <protection/>
    </xf>
    <xf numFmtId="0" fontId="19" fillId="0" borderId="31" xfId="23" applyFont="1" applyFill="1" applyBorder="1" applyAlignment="1" applyProtection="1">
      <alignment horizontal="center" vertical="center" wrapText="1" shrinkToFit="1"/>
      <protection/>
    </xf>
    <xf numFmtId="0" fontId="19" fillId="0" borderId="28" xfId="23" applyFont="1" applyFill="1" applyBorder="1" applyAlignment="1" applyProtection="1">
      <alignment horizontal="center" vertical="center" wrapText="1" shrinkToFit="1"/>
      <protection/>
    </xf>
    <xf numFmtId="0" fontId="19" fillId="0" borderId="32" xfId="23" applyFont="1" applyFill="1" applyBorder="1" applyAlignment="1" applyProtection="1">
      <alignment horizontal="center" vertical="center" wrapText="1" shrinkToFit="1"/>
      <protection/>
    </xf>
    <xf numFmtId="0" fontId="19" fillId="0" borderId="34" xfId="23" applyFont="1" applyFill="1" applyBorder="1" applyAlignment="1" applyProtection="1">
      <alignment horizontal="center" vertical="center" wrapText="1" shrinkToFit="1"/>
      <protection/>
    </xf>
    <xf numFmtId="177" fontId="10" fillId="7" borderId="72" xfId="23" applyNumberFormat="1" applyFont="1" applyFill="1" applyBorder="1" applyAlignment="1" applyProtection="1">
      <alignment horizontal="center" vertical="center" shrinkToFit="1"/>
      <protection locked="0"/>
    </xf>
    <xf numFmtId="0" fontId="84" fillId="0" borderId="69" xfId="23" applyFont="1" applyFill="1" applyBorder="1" applyAlignment="1" applyProtection="1">
      <alignment horizontal="center" vertical="center" wrapText="1" shrinkToFit="1"/>
      <protection/>
    </xf>
    <xf numFmtId="0" fontId="84" fillId="0" borderId="10" xfId="23" applyFont="1" applyFill="1" applyBorder="1" applyAlignment="1" applyProtection="1">
      <alignment horizontal="center" vertical="center" wrapText="1" shrinkToFit="1"/>
      <protection/>
    </xf>
    <xf numFmtId="0" fontId="84" fillId="0" borderId="11" xfId="23" applyFont="1" applyFill="1" applyBorder="1" applyAlignment="1" applyProtection="1">
      <alignment horizontal="center" vertical="center" wrapText="1" shrinkToFit="1"/>
      <protection/>
    </xf>
    <xf numFmtId="0" fontId="5" fillId="0" borderId="122" xfId="23" applyBorder="1" applyAlignment="1" applyProtection="1">
      <alignment horizontal="center" vertical="center" wrapText="1"/>
      <protection/>
    </xf>
    <xf numFmtId="0" fontId="5" fillId="0" borderId="123" xfId="23" applyBorder="1" applyAlignment="1" applyProtection="1">
      <alignment horizontal="center" vertical="center" wrapText="1"/>
      <protection/>
    </xf>
    <xf numFmtId="177" fontId="84" fillId="0" borderId="43" xfId="23" applyNumberFormat="1" applyFont="1" applyFill="1" applyBorder="1" applyAlignment="1" applyProtection="1">
      <alignment horizontal="center" vertical="center" wrapText="1" shrinkToFit="1"/>
      <protection/>
    </xf>
    <xf numFmtId="177" fontId="84" fillId="0" borderId="23" xfId="23" applyNumberFormat="1" applyFont="1" applyFill="1" applyBorder="1" applyAlignment="1" applyProtection="1">
      <alignment horizontal="center" vertical="center" wrapText="1" shrinkToFit="1"/>
      <protection/>
    </xf>
    <xf numFmtId="178" fontId="84" fillId="0" borderId="15" xfId="23" applyNumberFormat="1" applyFont="1" applyFill="1" applyBorder="1" applyAlignment="1" applyProtection="1">
      <alignment horizontal="center" vertical="center" wrapText="1" shrinkToFit="1"/>
      <protection/>
    </xf>
    <xf numFmtId="178" fontId="84" fillId="0" borderId="3" xfId="23" applyNumberFormat="1" applyFont="1" applyFill="1" applyBorder="1" applyAlignment="1" applyProtection="1">
      <alignment horizontal="center" vertical="center" wrapText="1" shrinkToFit="1"/>
      <protection/>
    </xf>
    <xf numFmtId="0" fontId="119" fillId="0" borderId="68" xfId="23" applyFont="1" applyFill="1" applyBorder="1" applyAlignment="1" applyProtection="1">
      <alignment horizontal="center" vertical="center" wrapText="1" shrinkToFit="1"/>
      <protection/>
    </xf>
    <xf numFmtId="0" fontId="119" fillId="0" borderId="15" xfId="23" applyFont="1" applyFill="1" applyBorder="1" applyAlignment="1" applyProtection="1">
      <alignment horizontal="center" vertical="center" wrapText="1" shrinkToFit="1"/>
      <protection/>
    </xf>
    <xf numFmtId="0" fontId="5" fillId="0" borderId="24" xfId="23" applyBorder="1" applyAlignment="1" applyProtection="1">
      <alignment horizontal="center" vertical="center"/>
      <protection/>
    </xf>
    <xf numFmtId="0" fontId="5" fillId="0" borderId="4" xfId="23" applyBorder="1" applyAlignment="1" applyProtection="1">
      <alignment horizontal="center" vertical="center"/>
      <protection/>
    </xf>
    <xf numFmtId="0" fontId="5" fillId="0" borderId="26" xfId="23" applyBorder="1" applyAlignment="1" applyProtection="1">
      <alignment horizontal="center" vertical="center"/>
      <protection/>
    </xf>
    <xf numFmtId="0" fontId="5" fillId="0" borderId="58" xfId="23" applyBorder="1" applyAlignment="1" applyProtection="1">
      <alignment horizontal="center" vertical="center"/>
      <protection/>
    </xf>
    <xf numFmtId="177" fontId="5" fillId="0" borderId="4" xfId="23" applyNumberFormat="1" applyBorder="1" applyAlignment="1" applyProtection="1">
      <alignment horizontal="center" vertical="center"/>
      <protection/>
    </xf>
    <xf numFmtId="0" fontId="8" fillId="0" borderId="53" xfId="23" applyFont="1" applyBorder="1" applyAlignment="1" applyProtection="1">
      <alignment horizontal="center" vertical="center" textRotation="255"/>
      <protection/>
    </xf>
    <xf numFmtId="0" fontId="8" fillId="0" borderId="48" xfId="23" applyFont="1" applyBorder="1" applyAlignment="1" applyProtection="1">
      <alignment horizontal="center" vertical="center" textRotation="255"/>
      <protection/>
    </xf>
    <xf numFmtId="0" fontId="8" fillId="0" borderId="49" xfId="23" applyFont="1" applyBorder="1" applyAlignment="1" applyProtection="1">
      <alignment horizontal="center" vertical="center" textRotation="255"/>
      <protection/>
    </xf>
    <xf numFmtId="177" fontId="5" fillId="0" borderId="3" xfId="23" applyNumberFormat="1" applyBorder="1" applyAlignment="1" applyProtection="1">
      <alignment horizontal="center" vertical="center"/>
      <protection/>
    </xf>
    <xf numFmtId="177" fontId="8" fillId="0" borderId="4" xfId="23" applyNumberFormat="1" applyFont="1" applyBorder="1" applyAlignment="1" applyProtection="1">
      <alignment horizontal="center" vertical="center"/>
      <protection/>
    </xf>
    <xf numFmtId="0" fontId="8" fillId="0" borderId="26" xfId="23" applyFont="1" applyBorder="1" applyAlignment="1" applyProtection="1">
      <alignment horizontal="center" vertical="center"/>
      <protection/>
    </xf>
    <xf numFmtId="179" fontId="53" fillId="14" borderId="124" xfId="23" applyNumberFormat="1" applyFont="1" applyFill="1" applyBorder="1" applyAlignment="1" applyProtection="1">
      <alignment horizontal="center" vertical="center" shrinkToFit="1"/>
      <protection/>
    </xf>
    <xf numFmtId="179" fontId="53" fillId="14" borderId="125" xfId="23" applyNumberFormat="1" applyFont="1" applyFill="1" applyBorder="1" applyAlignment="1" applyProtection="1">
      <alignment horizontal="center" vertical="center" shrinkToFit="1"/>
      <protection/>
    </xf>
    <xf numFmtId="0" fontId="11" fillId="0" borderId="126" xfId="21" applyFont="1" applyBorder="1" applyAlignment="1" applyProtection="1">
      <alignment horizontal="center" vertical="center"/>
      <protection/>
    </xf>
    <xf numFmtId="0" fontId="11" fillId="0" borderId="127" xfId="21" applyFont="1" applyBorder="1" applyAlignment="1" applyProtection="1">
      <alignment horizontal="center" vertical="center"/>
      <protection/>
    </xf>
    <xf numFmtId="0" fontId="5" fillId="3" borderId="53" xfId="23" applyFont="1" applyFill="1" applyBorder="1" applyAlignment="1" applyProtection="1">
      <alignment horizontal="center" vertical="center" wrapText="1"/>
      <protection/>
    </xf>
    <xf numFmtId="0" fontId="5" fillId="3" borderId="49" xfId="23" applyFont="1" applyFill="1" applyBorder="1" applyAlignment="1" applyProtection="1">
      <alignment horizontal="center" vertical="center"/>
      <protection/>
    </xf>
    <xf numFmtId="0" fontId="8" fillId="3" borderId="53" xfId="23" applyFont="1" applyFill="1" applyBorder="1" applyAlignment="1" applyProtection="1">
      <alignment horizontal="center" vertical="center" wrapText="1"/>
      <protection/>
    </xf>
    <xf numFmtId="0" fontId="8" fillId="3" borderId="49" xfId="23" applyFont="1" applyFill="1" applyBorder="1" applyAlignment="1" applyProtection="1">
      <alignment horizontal="center" vertical="center"/>
      <protection/>
    </xf>
    <xf numFmtId="0" fontId="5" fillId="3" borderId="3" xfId="23" applyFont="1" applyFill="1" applyBorder="1" applyAlignment="1" applyProtection="1">
      <alignment horizontal="center" vertical="center" wrapText="1"/>
      <protection/>
    </xf>
    <xf numFmtId="192" fontId="5" fillId="3" borderId="105" xfId="23" applyNumberFormat="1" applyFont="1" applyFill="1" applyBorder="1" applyAlignment="1" applyProtection="1">
      <alignment horizontal="center" vertical="center"/>
      <protection/>
    </xf>
    <xf numFmtId="192" fontId="5" fillId="3" borderId="106" xfId="23" applyNumberFormat="1" applyFont="1" applyFill="1" applyBorder="1" applyAlignment="1" applyProtection="1">
      <alignment horizontal="center" vertical="center"/>
      <protection/>
    </xf>
    <xf numFmtId="179" fontId="53" fillId="14" borderId="128" xfId="23" applyNumberFormat="1" applyFont="1" applyFill="1" applyBorder="1" applyAlignment="1" applyProtection="1">
      <alignment horizontal="center" vertical="center" shrinkToFit="1"/>
      <protection/>
    </xf>
    <xf numFmtId="0" fontId="84" fillId="0" borderId="129" xfId="23" applyFont="1" applyFill="1" applyBorder="1" applyAlignment="1" applyProtection="1">
      <alignment horizontal="center" vertical="center" shrinkToFit="1"/>
      <protection/>
    </xf>
    <xf numFmtId="0" fontId="84" fillId="0" borderId="9" xfId="23" applyFont="1" applyFill="1" applyBorder="1" applyAlignment="1" applyProtection="1">
      <alignment horizontal="center" vertical="center" shrinkToFit="1"/>
      <protection/>
    </xf>
    <xf numFmtId="0" fontId="84" fillId="0" borderId="43" xfId="23" applyFont="1" applyFill="1" applyBorder="1" applyAlignment="1" applyProtection="1">
      <alignment horizontal="center" vertical="center" shrinkToFit="1"/>
      <protection/>
    </xf>
    <xf numFmtId="0" fontId="84" fillId="0" borderId="23" xfId="23" applyFont="1" applyFill="1" applyBorder="1" applyAlignment="1" applyProtection="1">
      <alignment horizontal="center" vertical="center" shrinkToFit="1"/>
      <protection/>
    </xf>
    <xf numFmtId="180" fontId="8" fillId="3" borderId="15" xfId="23" applyNumberFormat="1" applyFont="1" applyFill="1" applyBorder="1" applyAlignment="1" applyProtection="1">
      <alignment horizontal="center" vertical="center"/>
      <protection/>
    </xf>
    <xf numFmtId="0" fontId="110" fillId="7" borderId="3" xfId="23" applyFont="1" applyFill="1" applyBorder="1" applyAlignment="1" applyProtection="1">
      <alignment horizontal="right" vertical="center" shrinkToFit="1"/>
      <protection/>
    </xf>
    <xf numFmtId="0" fontId="53" fillId="0" borderId="36" xfId="23" applyFont="1" applyBorder="1" applyAlignment="1" applyProtection="1">
      <alignment horizontal="center" vertical="center" wrapText="1"/>
      <protection/>
    </xf>
    <xf numFmtId="0" fontId="53" fillId="0" borderId="33" xfId="23" applyFont="1" applyBorder="1" applyAlignment="1" applyProtection="1">
      <alignment horizontal="center" vertical="center" wrapText="1"/>
      <protection/>
    </xf>
    <xf numFmtId="0" fontId="19" fillId="0" borderId="12" xfId="23" applyFont="1" applyFill="1" applyBorder="1" applyAlignment="1" applyProtection="1">
      <alignment horizontal="center" vertical="center" wrapText="1"/>
      <protection/>
    </xf>
    <xf numFmtId="0" fontId="19" fillId="0" borderId="36" xfId="23" applyFont="1" applyFill="1" applyBorder="1" applyAlignment="1" applyProtection="1">
      <alignment horizontal="center" vertical="center" wrapText="1"/>
      <protection/>
    </xf>
    <xf numFmtId="0" fontId="19" fillId="0" borderId="130" xfId="23" applyFont="1" applyFill="1" applyBorder="1" applyAlignment="1" applyProtection="1">
      <alignment horizontal="center" vertical="center" wrapText="1"/>
      <protection/>
    </xf>
    <xf numFmtId="191" fontId="48" fillId="0" borderId="131" xfId="23" applyNumberFormat="1" applyFont="1" applyFill="1" applyBorder="1" applyAlignment="1" applyProtection="1">
      <alignment horizontal="center" vertical="center" shrinkToFit="1"/>
      <protection/>
    </xf>
    <xf numFmtId="191" fontId="48" fillId="0" borderId="37" xfId="23" applyNumberFormat="1" applyFont="1" applyFill="1" applyBorder="1" applyAlignment="1" applyProtection="1">
      <alignment horizontal="center" vertical="center" shrinkToFit="1"/>
      <protection/>
    </xf>
    <xf numFmtId="0" fontId="8" fillId="3" borderId="35" xfId="23" applyFont="1" applyFill="1" applyBorder="1" applyAlignment="1" applyProtection="1">
      <alignment horizontal="center" vertical="center"/>
      <protection/>
    </xf>
    <xf numFmtId="0" fontId="8" fillId="3" borderId="32" xfId="23" applyFont="1" applyFill="1" applyBorder="1" applyAlignment="1" applyProtection="1">
      <alignment horizontal="center" vertical="center"/>
      <protection/>
    </xf>
    <xf numFmtId="0" fontId="5" fillId="0" borderId="103" xfId="23" applyFont="1" applyBorder="1" applyAlignment="1" applyProtection="1">
      <alignment horizontal="center" vertical="center"/>
      <protection locked="0"/>
    </xf>
    <xf numFmtId="0" fontId="5" fillId="0" borderId="56" xfId="23" applyFont="1" applyBorder="1" applyAlignment="1" applyProtection="1">
      <alignment horizontal="center" vertical="center"/>
      <protection locked="0"/>
    </xf>
    <xf numFmtId="180" fontId="8" fillId="3" borderId="69" xfId="23" applyNumberFormat="1" applyFont="1" applyFill="1" applyBorder="1" applyAlignment="1" applyProtection="1">
      <alignment horizontal="center" vertical="center" wrapText="1"/>
      <protection/>
    </xf>
    <xf numFmtId="179" fontId="35" fillId="0" borderId="23" xfId="23" applyNumberFormat="1" applyFont="1" applyBorder="1" applyAlignment="1" applyProtection="1">
      <alignment horizontal="center" vertical="center" shrinkToFit="1"/>
      <protection/>
    </xf>
    <xf numFmtId="179" fontId="35" fillId="0" borderId="29" xfId="23" applyNumberFormat="1" applyFont="1" applyBorder="1" applyAlignment="1" applyProtection="1">
      <alignment horizontal="center" vertical="center" shrinkToFit="1"/>
      <protection/>
    </xf>
    <xf numFmtId="0" fontId="48" fillId="0" borderId="3" xfId="23" applyNumberFormat="1" applyFont="1" applyBorder="1" applyAlignment="1" applyProtection="1">
      <alignment horizontal="center" vertical="center" shrinkToFit="1"/>
      <protection/>
    </xf>
    <xf numFmtId="0" fontId="48" fillId="0" borderId="59" xfId="23" applyNumberFormat="1" applyFont="1" applyBorder="1" applyAlignment="1" applyProtection="1">
      <alignment horizontal="center" vertical="center" shrinkToFit="1"/>
      <protection/>
    </xf>
    <xf numFmtId="0" fontId="8" fillId="0" borderId="69" xfId="23" applyFont="1" applyFill="1" applyBorder="1" applyAlignment="1" applyProtection="1">
      <alignment horizontal="center" vertical="center" wrapText="1"/>
      <protection/>
    </xf>
    <xf numFmtId="0" fontId="5" fillId="0" borderId="15" xfId="23" applyFont="1" applyFill="1" applyBorder="1" applyAlignment="1" applyProtection="1">
      <alignment vertical="center"/>
      <protection/>
    </xf>
    <xf numFmtId="0" fontId="5" fillId="0" borderId="43" xfId="23" applyFont="1" applyFill="1" applyBorder="1" applyAlignment="1" applyProtection="1">
      <alignment vertical="center"/>
      <protection/>
    </xf>
    <xf numFmtId="0" fontId="8" fillId="7" borderId="3" xfId="23" applyFont="1" applyFill="1" applyBorder="1" applyAlignment="1" applyProtection="1">
      <alignment horizontal="center" vertical="center" shrinkToFit="1"/>
      <protection locked="0"/>
    </xf>
    <xf numFmtId="0" fontId="8" fillId="7" borderId="59" xfId="23" applyFont="1" applyFill="1" applyBorder="1" applyAlignment="1" applyProtection="1">
      <alignment horizontal="center" vertical="center" shrinkToFit="1"/>
      <protection locked="0"/>
    </xf>
    <xf numFmtId="0" fontId="8" fillId="0" borderId="12" xfId="23" applyFont="1" applyFill="1" applyBorder="1" applyAlignment="1" applyProtection="1">
      <alignment horizontal="center" vertical="center" shrinkToFit="1"/>
      <protection/>
    </xf>
    <xf numFmtId="0" fontId="8" fillId="0" borderId="13" xfId="23" applyFont="1" applyFill="1" applyBorder="1" applyAlignment="1" applyProtection="1">
      <alignment horizontal="center" vertical="center" shrinkToFit="1"/>
      <protection/>
    </xf>
    <xf numFmtId="0" fontId="8" fillId="0" borderId="14" xfId="23" applyFont="1" applyFill="1" applyBorder="1" applyAlignment="1" applyProtection="1">
      <alignment horizontal="center" vertical="center" shrinkToFit="1"/>
      <protection/>
    </xf>
    <xf numFmtId="0" fontId="49" fillId="0" borderId="12" xfId="23" applyFont="1" applyFill="1" applyBorder="1" applyAlignment="1" applyProtection="1">
      <alignment horizontal="center" vertical="center" wrapText="1"/>
      <protection/>
    </xf>
    <xf numFmtId="0" fontId="49" fillId="0" borderId="13" xfId="23" applyFont="1" applyFill="1" applyBorder="1" applyAlignment="1" applyProtection="1">
      <alignment horizontal="center" vertical="center" wrapText="1"/>
      <protection/>
    </xf>
    <xf numFmtId="0" fontId="49" fillId="0" borderId="14" xfId="23" applyFont="1" applyFill="1" applyBorder="1" applyAlignment="1" applyProtection="1">
      <alignment horizontal="center" vertical="center" wrapText="1"/>
      <protection/>
    </xf>
    <xf numFmtId="0" fontId="49" fillId="0" borderId="12" xfId="21" applyFont="1" applyFill="1" applyBorder="1" applyAlignment="1" applyProtection="1">
      <alignment horizontal="center" vertical="center" shrinkToFit="1"/>
      <protection/>
    </xf>
    <xf numFmtId="0" fontId="49" fillId="0" borderId="14" xfId="21" applyFont="1" applyFill="1" applyBorder="1" applyAlignment="1" applyProtection="1">
      <alignment horizontal="center" vertical="center" shrinkToFit="1"/>
      <protection/>
    </xf>
    <xf numFmtId="0" fontId="110" fillId="7" borderId="23" xfId="23" applyFont="1" applyFill="1" applyBorder="1" applyAlignment="1" applyProtection="1">
      <alignment horizontal="right" vertical="center" shrinkToFit="1"/>
      <protection/>
    </xf>
    <xf numFmtId="0" fontId="110" fillId="7" borderId="10" xfId="23" applyFont="1" applyFill="1" applyBorder="1" applyAlignment="1" applyProtection="1">
      <alignment horizontal="right" vertical="center" wrapText="1" shrinkToFit="1"/>
      <protection/>
    </xf>
    <xf numFmtId="177" fontId="10" fillId="0" borderId="12" xfId="23" applyNumberFormat="1" applyFont="1" applyFill="1" applyBorder="1" applyAlignment="1" applyProtection="1">
      <alignment horizontal="center" vertical="center" wrapText="1"/>
      <protection/>
    </xf>
    <xf numFmtId="177" fontId="10" fillId="0" borderId="13" xfId="23" applyNumberFormat="1" applyFont="1" applyFill="1" applyBorder="1" applyAlignment="1" applyProtection="1">
      <alignment horizontal="center" vertical="center" wrapText="1"/>
      <protection/>
    </xf>
    <xf numFmtId="177" fontId="10" fillId="0" borderId="14" xfId="23" applyNumberFormat="1" applyFont="1" applyFill="1" applyBorder="1" applyAlignment="1" applyProtection="1">
      <alignment horizontal="center" vertical="center" wrapText="1"/>
      <protection/>
    </xf>
    <xf numFmtId="0" fontId="8" fillId="0" borderId="12" xfId="23" applyFont="1" applyFill="1" applyBorder="1" applyAlignment="1" applyProtection="1">
      <alignment horizontal="center" vertical="center" wrapText="1" shrinkToFit="1"/>
      <protection/>
    </xf>
    <xf numFmtId="0" fontId="53" fillId="0" borderId="104" xfId="23" applyFont="1" applyFill="1" applyBorder="1" applyAlignment="1" applyProtection="1">
      <alignment horizontal="center" vertical="center" wrapText="1" shrinkToFit="1"/>
      <protection/>
    </xf>
    <xf numFmtId="0" fontId="53" fillId="0" borderId="101" xfId="23" applyFont="1" applyFill="1" applyBorder="1" applyAlignment="1" applyProtection="1">
      <alignment horizontal="center" vertical="center" shrinkToFit="1"/>
      <protection/>
    </xf>
    <xf numFmtId="181" fontId="53" fillId="0" borderId="69" xfId="23" applyNumberFormat="1" applyFont="1" applyFill="1" applyBorder="1" applyAlignment="1" applyProtection="1">
      <alignment horizontal="center" vertical="center" shrinkToFit="1"/>
      <protection locked="0"/>
    </xf>
    <xf numFmtId="0" fontId="35" fillId="0" borderId="59" xfId="23" applyNumberFormat="1" applyFont="1" applyFill="1" applyBorder="1" applyAlignment="1" applyProtection="1">
      <alignment horizontal="center" vertical="center" wrapText="1"/>
      <protection/>
    </xf>
    <xf numFmtId="0" fontId="48" fillId="0" borderId="16" xfId="23" applyNumberFormat="1" applyFont="1" applyFill="1" applyBorder="1" applyAlignment="1" applyProtection="1">
      <alignment horizontal="center" vertical="center" wrapText="1"/>
      <protection/>
    </xf>
    <xf numFmtId="0" fontId="48" fillId="0" borderId="59" xfId="23" applyNumberFormat="1" applyFont="1" applyFill="1" applyBorder="1" applyAlignment="1" applyProtection="1">
      <alignment horizontal="center" vertical="center" wrapText="1"/>
      <protection/>
    </xf>
    <xf numFmtId="0" fontId="11" fillId="4" borderId="105" xfId="21" applyFont="1" applyFill="1" applyBorder="1" applyAlignment="1" applyProtection="1">
      <alignment horizontal="center" vertical="center"/>
      <protection/>
    </xf>
    <xf numFmtId="0" fontId="11" fillId="4" borderId="106" xfId="21" applyFont="1" applyFill="1" applyBorder="1" applyAlignment="1" applyProtection="1">
      <alignment horizontal="center" vertical="center"/>
      <protection/>
    </xf>
    <xf numFmtId="0" fontId="48" fillId="0" borderId="3" xfId="23" applyFont="1" applyBorder="1" applyAlignment="1" applyProtection="1">
      <alignment horizontal="center" vertical="center" wrapText="1"/>
      <protection/>
    </xf>
    <xf numFmtId="0" fontId="5" fillId="0" borderId="0" xfId="23" applyBorder="1" applyAlignment="1" applyProtection="1">
      <alignment horizontal="center" vertical="center" wrapText="1"/>
      <protection/>
    </xf>
    <xf numFmtId="0" fontId="82" fillId="0" borderId="0" xfId="23" applyFont="1" applyFill="1" applyBorder="1" applyAlignment="1" applyProtection="1">
      <alignment horizontal="center" vertical="center" shrinkToFit="1"/>
      <protection/>
    </xf>
    <xf numFmtId="0" fontId="5" fillId="0" borderId="51" xfId="23" applyBorder="1" applyAlignment="1" applyProtection="1">
      <alignment horizontal="center" vertical="center" wrapText="1"/>
      <protection/>
    </xf>
    <xf numFmtId="0" fontId="53" fillId="14" borderId="52" xfId="23" applyFont="1" applyFill="1" applyBorder="1" applyAlignment="1" applyProtection="1">
      <alignment horizontal="center" vertical="center" shrinkToFit="1"/>
      <protection/>
    </xf>
    <xf numFmtId="0" fontId="19" fillId="0" borderId="46" xfId="23" applyFont="1" applyFill="1" applyBorder="1" applyAlignment="1" applyProtection="1">
      <alignment horizontal="center" vertical="center" wrapText="1"/>
      <protection/>
    </xf>
    <xf numFmtId="183" fontId="19" fillId="0" borderId="115" xfId="23" applyNumberFormat="1" applyFont="1" applyFill="1" applyBorder="1" applyAlignment="1" applyProtection="1">
      <alignment horizontal="center" vertical="center" wrapText="1"/>
      <protection/>
    </xf>
    <xf numFmtId="183" fontId="19" fillId="0" borderId="116" xfId="23" applyNumberFormat="1" applyFont="1" applyFill="1" applyBorder="1" applyAlignment="1" applyProtection="1">
      <alignment horizontal="center" vertical="center" wrapText="1"/>
      <protection/>
    </xf>
    <xf numFmtId="183" fontId="19" fillId="0" borderId="117" xfId="23" applyNumberFormat="1" applyFont="1" applyFill="1" applyBorder="1" applyAlignment="1" applyProtection="1">
      <alignment horizontal="center" vertical="center" wrapText="1"/>
      <protection/>
    </xf>
    <xf numFmtId="179" fontId="53" fillId="14" borderId="132" xfId="23" applyNumberFormat="1" applyFont="1" applyFill="1" applyBorder="1" applyAlignment="1" applyProtection="1">
      <alignment horizontal="center" vertical="center"/>
      <protection/>
    </xf>
    <xf numFmtId="0" fontId="8" fillId="0" borderId="4" xfId="23" applyFont="1" applyBorder="1" applyAlignment="1" applyProtection="1">
      <alignment horizontal="center" vertical="center"/>
      <protection/>
    </xf>
    <xf numFmtId="179" fontId="48" fillId="0" borderId="50" xfId="23" applyNumberFormat="1" applyFont="1" applyFill="1" applyBorder="1" applyAlignment="1" applyProtection="1">
      <alignment horizontal="center" vertical="center" shrinkToFit="1"/>
      <protection/>
    </xf>
    <xf numFmtId="179" fontId="48" fillId="0" borderId="78" xfId="23" applyNumberFormat="1" applyFont="1" applyFill="1" applyBorder="1" applyAlignment="1" applyProtection="1">
      <alignment horizontal="center" vertical="center" shrinkToFit="1"/>
      <protection/>
    </xf>
    <xf numFmtId="177" fontId="8" fillId="0" borderId="3" xfId="23" applyNumberFormat="1" applyFont="1" applyBorder="1" applyAlignment="1" applyProtection="1">
      <alignment horizontal="center" vertical="center"/>
      <protection/>
    </xf>
    <xf numFmtId="0" fontId="8" fillId="0" borderId="3" xfId="23" applyFont="1" applyBorder="1" applyAlignment="1" applyProtection="1">
      <alignment horizontal="center" vertical="center"/>
      <protection/>
    </xf>
    <xf numFmtId="188" fontId="35" fillId="0" borderId="47" xfId="23" applyNumberFormat="1" applyFont="1" applyFill="1" applyBorder="1" applyAlignment="1" applyProtection="1">
      <alignment horizontal="center" vertical="center" shrinkToFit="1"/>
      <protection/>
    </xf>
    <xf numFmtId="188" fontId="35" fillId="0" borderId="50" xfId="23" applyNumberFormat="1" applyFont="1" applyFill="1" applyBorder="1" applyAlignment="1" applyProtection="1">
      <alignment horizontal="center" vertical="center" shrinkToFit="1"/>
      <protection/>
    </xf>
    <xf numFmtId="188" fontId="35" fillId="0" borderId="78" xfId="23" applyNumberFormat="1" applyFont="1" applyFill="1" applyBorder="1" applyAlignment="1" applyProtection="1">
      <alignment horizontal="center" vertical="center" shrinkToFit="1"/>
      <protection/>
    </xf>
    <xf numFmtId="0" fontId="11" fillId="4" borderId="4" xfId="21" applyFont="1" applyFill="1" applyBorder="1" applyAlignment="1" applyProtection="1">
      <alignment horizontal="center" vertical="center"/>
      <protection/>
    </xf>
    <xf numFmtId="0" fontId="11" fillId="4" borderId="26" xfId="21" applyFont="1" applyFill="1" applyBorder="1" applyAlignment="1" applyProtection="1">
      <alignment horizontal="center" vertical="center"/>
      <protection/>
    </xf>
    <xf numFmtId="179" fontId="11" fillId="0" borderId="4" xfId="21" applyNumberFormat="1" applyFont="1" applyBorder="1" applyAlignment="1" applyProtection="1">
      <alignment horizontal="center" vertical="center"/>
      <protection/>
    </xf>
    <xf numFmtId="179" fontId="11" fillId="0" borderId="26" xfId="21" applyNumberFormat="1" applyFont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 shrinkToFit="1"/>
      <protection/>
    </xf>
    <xf numFmtId="0" fontId="66" fillId="0" borderId="59" xfId="0" applyFont="1" applyBorder="1" applyAlignment="1" applyProtection="1">
      <alignment horizontal="center" vertical="center" shrinkToFit="1"/>
      <protection/>
    </xf>
    <xf numFmtId="207" fontId="71" fillId="6" borderId="66" xfId="23" applyNumberFormat="1" applyFont="1" applyFill="1" applyBorder="1" applyAlignment="1" applyProtection="1">
      <alignment horizontal="center" vertical="center" shrinkToFit="1"/>
      <protection/>
    </xf>
    <xf numFmtId="207" fontId="71" fillId="6" borderId="102" xfId="23" applyNumberFormat="1" applyFont="1" applyFill="1" applyBorder="1" applyAlignment="1" applyProtection="1">
      <alignment horizontal="center" vertical="center" shrinkToFit="1"/>
      <protection/>
    </xf>
    <xf numFmtId="0" fontId="65" fillId="0" borderId="35" xfId="0" applyFont="1" applyBorder="1" applyAlignment="1" applyProtection="1">
      <alignment horizontal="center" vertical="center" wrapText="1"/>
      <protection/>
    </xf>
    <xf numFmtId="0" fontId="65" fillId="0" borderId="36" xfId="0" applyFont="1" applyBorder="1" applyAlignment="1" applyProtection="1">
      <alignment horizontal="center" vertical="center" wrapText="1"/>
      <protection/>
    </xf>
    <xf numFmtId="0" fontId="65" fillId="0" borderId="37" xfId="0" applyFont="1" applyBorder="1" applyAlignment="1" applyProtection="1">
      <alignment horizontal="center" vertical="center" wrapText="1"/>
      <protection/>
    </xf>
    <xf numFmtId="0" fontId="65" fillId="0" borderId="32" xfId="0" applyFont="1" applyBorder="1" applyAlignment="1" applyProtection="1">
      <alignment horizontal="center" vertical="center" wrapText="1"/>
      <protection/>
    </xf>
    <xf numFmtId="0" fontId="65" fillId="0" borderId="33" xfId="0" applyFont="1" applyBorder="1" applyAlignment="1" applyProtection="1">
      <alignment horizontal="center" vertical="center" wrapText="1"/>
      <protection/>
    </xf>
    <xf numFmtId="0" fontId="65" fillId="0" borderId="34" xfId="0" applyFont="1" applyBorder="1" applyAlignment="1" applyProtection="1">
      <alignment horizontal="center" vertical="center" wrapText="1"/>
      <protection/>
    </xf>
    <xf numFmtId="0" fontId="66" fillId="0" borderId="69" xfId="0" applyFont="1" applyBorder="1" applyAlignment="1" applyProtection="1">
      <alignment horizontal="center" vertical="center" shrinkToFit="1"/>
      <protection/>
    </xf>
    <xf numFmtId="0" fontId="66" fillId="0" borderId="15" xfId="0" applyFont="1" applyBorder="1" applyAlignment="1" applyProtection="1">
      <alignment horizontal="center" vertical="center" shrinkToFit="1"/>
      <protection/>
    </xf>
    <xf numFmtId="208" fontId="65" fillId="6" borderId="17" xfId="0" applyNumberFormat="1" applyFont="1" applyFill="1" applyBorder="1" applyAlignment="1" applyProtection="1" quotePrefix="1">
      <alignment horizontal="center" vertical="center" shrinkToFit="1"/>
      <protection/>
    </xf>
    <xf numFmtId="208" fontId="65" fillId="6" borderId="101" xfId="0" applyNumberFormat="1" applyFont="1" applyFill="1" applyBorder="1" applyAlignment="1" applyProtection="1" quotePrefix="1">
      <alignment horizontal="center" vertical="center" shrinkToFit="1"/>
      <protection/>
    </xf>
    <xf numFmtId="0" fontId="65" fillId="0" borderId="133" xfId="0" applyNumberFormat="1" applyFont="1" applyFill="1" applyBorder="1" applyAlignment="1" applyProtection="1">
      <alignment horizontal="center" vertical="center" shrinkToFit="1"/>
      <protection/>
    </xf>
    <xf numFmtId="0" fontId="65" fillId="0" borderId="134" xfId="0" applyNumberFormat="1" applyFont="1" applyFill="1" applyBorder="1" applyAlignment="1" applyProtection="1">
      <alignment horizontal="center" vertical="center" shrinkToFit="1"/>
      <protection/>
    </xf>
    <xf numFmtId="0" fontId="66" fillId="0" borderId="10" xfId="0" applyFont="1" applyBorder="1" applyAlignment="1" applyProtection="1">
      <alignment horizontal="center" vertical="center" shrinkToFit="1"/>
      <protection/>
    </xf>
    <xf numFmtId="0" fontId="66" fillId="0" borderId="3" xfId="0" applyFont="1" applyBorder="1" applyAlignment="1" applyProtection="1">
      <alignment horizontal="center" vertical="center" shrinkToFit="1"/>
      <protection/>
    </xf>
    <xf numFmtId="0" fontId="65" fillId="6" borderId="4" xfId="0" applyNumberFormat="1" applyFont="1" applyFill="1" applyBorder="1" applyAlignment="1" applyProtection="1" quotePrefix="1">
      <alignment horizontal="center" vertical="center" shrinkToFit="1"/>
      <protection/>
    </xf>
    <xf numFmtId="0" fontId="65" fillId="6" borderId="42" xfId="0" applyNumberFormat="1" applyFont="1" applyFill="1" applyBorder="1" applyAlignment="1" applyProtection="1" quotePrefix="1">
      <alignment horizontal="center" vertical="center" shrinkToFit="1"/>
      <protection/>
    </xf>
    <xf numFmtId="0" fontId="66" fillId="0" borderId="9" xfId="0" applyFont="1" applyBorder="1" applyAlignment="1" applyProtection="1">
      <alignment horizontal="center" vertical="center" shrinkToFit="1"/>
      <protection/>
    </xf>
    <xf numFmtId="0" fontId="66" fillId="0" borderId="49" xfId="0" applyFont="1" applyBorder="1" applyAlignment="1" applyProtection="1">
      <alignment horizontal="center" vertical="center" shrinkToFit="1"/>
      <protection/>
    </xf>
    <xf numFmtId="0" fontId="66" fillId="0" borderId="35" xfId="0" applyFont="1" applyBorder="1" applyAlignment="1" applyProtection="1">
      <alignment horizontal="center" vertical="center" wrapText="1"/>
      <protection/>
    </xf>
    <xf numFmtId="0" fontId="66" fillId="0" borderId="36" xfId="0" applyFont="1" applyBorder="1" applyAlignment="1" applyProtection="1">
      <alignment horizontal="center" vertical="center" wrapText="1"/>
      <protection/>
    </xf>
    <xf numFmtId="0" fontId="66" fillId="0" borderId="135" xfId="0" applyFont="1" applyBorder="1" applyAlignment="1" applyProtection="1">
      <alignment horizontal="center" vertical="center" wrapText="1"/>
      <protection/>
    </xf>
    <xf numFmtId="0" fontId="66" fillId="0" borderId="51" xfId="0" applyFont="1" applyBorder="1" applyAlignment="1" applyProtection="1">
      <alignment horizontal="center" vertical="center" wrapText="1"/>
      <protection/>
    </xf>
    <xf numFmtId="0" fontId="66" fillId="0" borderId="105" xfId="0" applyNumberFormat="1" applyFont="1" applyFill="1" applyBorder="1" applyAlignment="1" applyProtection="1">
      <alignment horizontal="center" vertical="center" shrinkToFit="1"/>
      <protection/>
    </xf>
    <xf numFmtId="0" fontId="66" fillId="0" borderId="136" xfId="0" applyNumberFormat="1" applyFont="1" applyFill="1" applyBorder="1" applyAlignment="1" applyProtection="1">
      <alignment horizontal="center" vertical="center" shrinkToFit="1"/>
      <protection/>
    </xf>
    <xf numFmtId="179" fontId="65" fillId="6" borderId="4" xfId="0" applyNumberFormat="1" applyFont="1" applyFill="1" applyBorder="1" applyAlignment="1" applyProtection="1">
      <alignment horizontal="center" vertical="center" shrinkToFit="1"/>
      <protection/>
    </xf>
    <xf numFmtId="179" fontId="65" fillId="6" borderId="24" xfId="0" applyNumberFormat="1" applyFont="1" applyFill="1" applyBorder="1" applyAlignment="1" applyProtection="1">
      <alignment horizontal="center" vertical="center" shrinkToFit="1"/>
      <protection/>
    </xf>
    <xf numFmtId="0" fontId="33" fillId="7" borderId="0" xfId="0" applyFont="1" applyFill="1" applyBorder="1" applyAlignment="1" applyProtection="1">
      <alignment horizontal="left" vertical="center" wrapText="1"/>
      <protection/>
    </xf>
    <xf numFmtId="0" fontId="65" fillId="6" borderId="0" xfId="0" applyFont="1" applyFill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0" borderId="3" xfId="0" applyFont="1" applyBorder="1" applyAlignment="1" applyProtection="1">
      <alignment horizontal="center" vertical="center"/>
      <protection/>
    </xf>
    <xf numFmtId="0" fontId="66" fillId="0" borderId="3" xfId="0" applyFont="1" applyBorder="1" applyAlignment="1" applyProtection="1">
      <alignment horizontal="center" vertical="center" wrapText="1"/>
      <protection/>
    </xf>
    <xf numFmtId="0" fontId="66" fillId="0" borderId="69" xfId="0" applyFont="1" applyBorder="1" applyAlignment="1" applyProtection="1">
      <alignment horizontal="center" vertical="center" wrapText="1"/>
      <protection/>
    </xf>
    <xf numFmtId="0" fontId="66" fillId="0" borderId="15" xfId="0" applyFont="1" applyBorder="1" applyAlignment="1" applyProtection="1">
      <alignment horizontal="center" vertical="center" wrapText="1"/>
      <protection/>
    </xf>
    <xf numFmtId="179" fontId="65" fillId="6" borderId="10" xfId="0" applyNumberFormat="1" applyFont="1" applyFill="1" applyBorder="1" applyAlignment="1" applyProtection="1">
      <alignment horizontal="center" vertical="center" shrinkToFit="1"/>
      <protection/>
    </xf>
    <xf numFmtId="179" fontId="65" fillId="6" borderId="3" xfId="0" applyNumberFormat="1" applyFont="1" applyFill="1" applyBorder="1" applyAlignment="1" applyProtection="1">
      <alignment horizontal="center" vertical="center" shrinkToFit="1"/>
      <protection/>
    </xf>
    <xf numFmtId="0" fontId="66" fillId="0" borderId="89" xfId="0" applyFont="1" applyBorder="1" applyAlignment="1" applyProtection="1">
      <alignment horizontal="center" vertical="center" shrinkToFit="1"/>
      <protection/>
    </xf>
    <xf numFmtId="0" fontId="95" fillId="0" borderId="109" xfId="0" applyFont="1" applyBorder="1" applyAlignment="1" applyProtection="1">
      <alignment horizontal="center" vertical="center" wrapText="1"/>
      <protection/>
    </xf>
    <xf numFmtId="0" fontId="95" fillId="0" borderId="36" xfId="0" applyFont="1" applyBorder="1" applyAlignment="1" applyProtection="1">
      <alignment horizontal="center" vertical="center" wrapText="1"/>
      <protection/>
    </xf>
    <xf numFmtId="0" fontId="95" fillId="0" borderId="37" xfId="0" applyFont="1" applyBorder="1" applyAlignment="1" applyProtection="1">
      <alignment horizontal="center" vertical="center" wrapText="1"/>
      <protection/>
    </xf>
    <xf numFmtId="0" fontId="95" fillId="0" borderId="25" xfId="0" applyFont="1" applyBorder="1" applyAlignment="1" applyProtection="1">
      <alignment horizontal="center" vertical="center" wrapText="1"/>
      <protection/>
    </xf>
    <xf numFmtId="0" fontId="95" fillId="0" borderId="51" xfId="0" applyFont="1" applyBorder="1" applyAlignment="1" applyProtection="1">
      <alignment horizontal="center" vertical="center" wrapText="1"/>
      <protection/>
    </xf>
    <xf numFmtId="0" fontId="95" fillId="0" borderId="137" xfId="0" applyFont="1" applyBorder="1" applyAlignment="1" applyProtection="1">
      <alignment horizontal="center" vertical="center" wrapText="1"/>
      <protection/>
    </xf>
    <xf numFmtId="179" fontId="65" fillId="6" borderId="66" xfId="0" applyNumberFormat="1" applyFont="1" applyFill="1" applyBorder="1" applyAlignment="1" applyProtection="1">
      <alignment horizontal="center" vertical="center" shrinkToFit="1"/>
      <protection/>
    </xf>
    <xf numFmtId="179" fontId="65" fillId="6" borderId="67" xfId="0" applyNumberFormat="1" applyFont="1" applyFill="1" applyBorder="1" applyAlignment="1" applyProtection="1">
      <alignment horizontal="center" vertical="center" shrinkToFit="1"/>
      <protection/>
    </xf>
    <xf numFmtId="0" fontId="66" fillId="0" borderId="43" xfId="0" applyFont="1" applyBorder="1" applyAlignment="1" applyProtection="1">
      <alignment horizontal="center" vertical="center" wrapText="1"/>
      <protection/>
    </xf>
    <xf numFmtId="0" fontId="66" fillId="0" borderId="23" xfId="0" applyFont="1" applyBorder="1" applyAlignment="1" applyProtection="1">
      <alignment horizontal="center" vertical="center" wrapText="1"/>
      <protection/>
    </xf>
    <xf numFmtId="0" fontId="66" fillId="0" borderId="89" xfId="0" applyFont="1" applyBorder="1" applyAlignment="1" applyProtection="1">
      <alignment horizontal="center" vertical="center"/>
      <protection/>
    </xf>
    <xf numFmtId="0" fontId="66" fillId="0" borderId="138" xfId="0" applyFont="1" applyBorder="1" applyAlignment="1" applyProtection="1">
      <alignment horizontal="center" vertical="center"/>
      <protection/>
    </xf>
    <xf numFmtId="179" fontId="65" fillId="6" borderId="23" xfId="0" applyNumberFormat="1" applyFont="1" applyFill="1" applyBorder="1" applyAlignment="1" applyProtection="1">
      <alignment horizontal="center" vertical="center" shrinkToFit="1"/>
      <protection/>
    </xf>
    <xf numFmtId="179" fontId="65" fillId="6" borderId="59" xfId="0" applyNumberFormat="1" applyFont="1" applyFill="1" applyBorder="1" applyAlignment="1" applyProtection="1">
      <alignment horizontal="center" vertical="center" shrinkToFit="1"/>
      <protection/>
    </xf>
    <xf numFmtId="179" fontId="65" fillId="6" borderId="29" xfId="0" applyNumberFormat="1" applyFont="1" applyFill="1" applyBorder="1" applyAlignment="1" applyProtection="1">
      <alignment horizontal="center" vertical="center" shrinkToFit="1"/>
      <protection/>
    </xf>
    <xf numFmtId="0" fontId="66" fillId="0" borderId="109" xfId="0" applyFont="1" applyBorder="1" applyAlignment="1" applyProtection="1">
      <alignment horizontal="center" vertical="center" wrapText="1"/>
      <protection/>
    </xf>
    <xf numFmtId="0" fontId="66" fillId="0" borderId="55" xfId="0" applyFont="1" applyBorder="1" applyAlignment="1" applyProtection="1">
      <alignment horizontal="center" vertical="center" wrapText="1"/>
      <protection/>
    </xf>
    <xf numFmtId="0" fontId="66" fillId="0" borderId="25" xfId="0" applyFont="1" applyBorder="1" applyAlignment="1" applyProtection="1">
      <alignment horizontal="center" vertical="center" wrapText="1"/>
      <protection/>
    </xf>
    <xf numFmtId="0" fontId="66" fillId="0" borderId="93" xfId="0" applyFont="1" applyBorder="1" applyAlignment="1" applyProtection="1">
      <alignment horizontal="center" vertical="center" wrapText="1"/>
      <protection/>
    </xf>
    <xf numFmtId="0" fontId="68" fillId="0" borderId="35" xfId="0" applyFont="1" applyBorder="1" applyAlignment="1" applyProtection="1">
      <alignment horizontal="center" vertical="center" wrapText="1"/>
      <protection/>
    </xf>
    <xf numFmtId="0" fontId="68" fillId="0" borderId="36" xfId="0" applyFont="1" applyBorder="1" applyAlignment="1" applyProtection="1">
      <alignment horizontal="center" vertical="center" wrapText="1"/>
      <protection/>
    </xf>
    <xf numFmtId="0" fontId="68" fillId="0" borderId="37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right"/>
      <protection/>
    </xf>
    <xf numFmtId="0" fontId="65" fillId="6" borderId="3" xfId="0" applyFont="1" applyFill="1" applyBorder="1" applyAlignment="1" applyProtection="1">
      <alignment horizontal="center" vertical="center"/>
      <protection/>
    </xf>
    <xf numFmtId="0" fontId="66" fillId="0" borderId="69" xfId="0" applyFont="1" applyBorder="1" applyAlignment="1" applyProtection="1">
      <alignment horizontal="center" vertical="center" textRotation="255"/>
      <protection/>
    </xf>
    <xf numFmtId="0" fontId="66" fillId="0" borderId="15" xfId="0" applyFont="1" applyBorder="1" applyAlignment="1" applyProtection="1">
      <alignment horizontal="center" vertical="center" textRotation="255"/>
      <protection/>
    </xf>
    <xf numFmtId="0" fontId="66" fillId="0" borderId="10" xfId="0" applyFont="1" applyBorder="1" applyAlignment="1" applyProtection="1">
      <alignment horizontal="center" vertical="center" textRotation="255"/>
      <protection/>
    </xf>
    <xf numFmtId="0" fontId="66" fillId="0" borderId="3" xfId="0" applyFont="1" applyBorder="1" applyAlignment="1" applyProtection="1">
      <alignment horizontal="center" vertical="center" textRotation="255"/>
      <protection/>
    </xf>
    <xf numFmtId="0" fontId="66" fillId="0" borderId="16" xfId="0" applyFont="1" applyBorder="1" applyAlignment="1" applyProtection="1">
      <alignment horizontal="center" vertical="center" textRotation="255"/>
      <protection/>
    </xf>
    <xf numFmtId="0" fontId="66" fillId="0" borderId="59" xfId="0" applyFont="1" applyBorder="1" applyAlignment="1" applyProtection="1">
      <alignment horizontal="center" vertical="center" textRotation="255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5" fillId="21" borderId="66" xfId="0" applyFont="1" applyFill="1" applyBorder="1" applyAlignment="1" applyProtection="1">
      <alignment horizontal="center" vertical="center" wrapText="1"/>
      <protection/>
    </xf>
    <xf numFmtId="0" fontId="65" fillId="21" borderId="67" xfId="0" applyFont="1" applyFill="1" applyBorder="1" applyAlignment="1" applyProtection="1">
      <alignment horizontal="center" vertical="center" wrapText="1"/>
      <protection/>
    </xf>
    <xf numFmtId="0" fontId="69" fillId="21" borderId="103" xfId="0" applyFont="1" applyFill="1" applyBorder="1" applyAlignment="1" applyProtection="1">
      <alignment horizontal="center" vertical="center" wrapText="1"/>
      <protection/>
    </xf>
    <xf numFmtId="0" fontId="69" fillId="21" borderId="67" xfId="0" applyFont="1" applyFill="1" applyBorder="1" applyAlignment="1" applyProtection="1">
      <alignment horizontal="center" vertical="center" wrapText="1"/>
      <protection/>
    </xf>
    <xf numFmtId="0" fontId="69" fillId="21" borderId="67" xfId="0" applyFont="1" applyFill="1" applyBorder="1" applyAlignment="1" applyProtection="1">
      <alignment horizontal="left" vertical="center" wrapText="1"/>
      <protection/>
    </xf>
    <xf numFmtId="0" fontId="69" fillId="21" borderId="56" xfId="0" applyFont="1" applyFill="1" applyBorder="1" applyAlignment="1" applyProtection="1">
      <alignment horizontal="left" vertical="center" wrapText="1"/>
      <protection/>
    </xf>
    <xf numFmtId="0" fontId="65" fillId="6" borderId="23" xfId="0" applyFont="1" applyFill="1" applyBorder="1" applyAlignment="1" applyProtection="1">
      <alignment horizontal="center" vertical="center"/>
      <protection/>
    </xf>
    <xf numFmtId="14" fontId="65" fillId="6" borderId="15" xfId="0" applyNumberFormat="1" applyFont="1" applyFill="1" applyBorder="1" applyAlignment="1" applyProtection="1">
      <alignment horizontal="center" vertical="center"/>
      <protection/>
    </xf>
    <xf numFmtId="14" fontId="65" fillId="6" borderId="49" xfId="0" applyNumberFormat="1" applyFont="1" applyFill="1" applyBorder="1" applyAlignment="1" applyProtection="1">
      <alignment horizontal="center" vertical="center"/>
      <protection/>
    </xf>
    <xf numFmtId="0" fontId="65" fillId="6" borderId="15" xfId="0" applyFont="1" applyFill="1" applyBorder="1" applyAlignment="1" applyProtection="1">
      <alignment horizontal="center" vertical="center"/>
      <protection/>
    </xf>
    <xf numFmtId="0" fontId="66" fillId="0" borderId="49" xfId="0" applyFont="1" applyBorder="1" applyAlignment="1" applyProtection="1">
      <alignment horizontal="center" vertical="center"/>
      <protection/>
    </xf>
    <xf numFmtId="0" fontId="65" fillId="6" borderId="43" xfId="0" applyFont="1" applyFill="1" applyBorder="1" applyAlignment="1" applyProtection="1">
      <alignment horizontal="center" vertical="center"/>
      <protection/>
    </xf>
    <xf numFmtId="0" fontId="66" fillId="0" borderId="69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vertical="center"/>
      <protection/>
    </xf>
    <xf numFmtId="0" fontId="65" fillId="6" borderId="17" xfId="0" applyFont="1" applyFill="1" applyBorder="1" applyAlignment="1" applyProtection="1">
      <alignment horizontal="center" vertical="center" shrinkToFit="1"/>
      <protection/>
    </xf>
    <xf numFmtId="0" fontId="66" fillId="6" borderId="70" xfId="0" applyFont="1" applyFill="1" applyBorder="1" applyAlignment="1" applyProtection="1">
      <alignment vertical="center" shrinkToFit="1"/>
      <protection/>
    </xf>
    <xf numFmtId="0" fontId="66" fillId="6" borderId="68" xfId="0" applyFont="1" applyFill="1" applyBorder="1" applyAlignment="1" applyProtection="1">
      <alignment vertical="center" shrinkToFit="1"/>
      <protection/>
    </xf>
    <xf numFmtId="0" fontId="65" fillId="6" borderId="15" xfId="0" applyFont="1" applyFill="1" applyBorder="1" applyAlignment="1" applyProtection="1">
      <alignment horizontal="center" vertical="center" shrinkToFit="1"/>
      <protection/>
    </xf>
    <xf numFmtId="0" fontId="65" fillId="6" borderId="59" xfId="0" applyFont="1" applyFill="1" applyBorder="1" applyAlignment="1" applyProtection="1">
      <alignment horizontal="left" vertical="center" wrapText="1"/>
      <protection/>
    </xf>
    <xf numFmtId="0" fontId="65" fillId="6" borderId="29" xfId="0" applyFont="1" applyFill="1" applyBorder="1" applyAlignment="1" applyProtection="1">
      <alignment horizontal="left" vertical="center" wrapText="1"/>
      <protection/>
    </xf>
    <xf numFmtId="0" fontId="66" fillId="0" borderId="59" xfId="0" applyFont="1" applyBorder="1" applyAlignment="1" applyProtection="1">
      <alignment horizontal="center" vertical="center"/>
      <protection/>
    </xf>
    <xf numFmtId="0" fontId="69" fillId="21" borderId="3" xfId="0" applyFont="1" applyFill="1" applyBorder="1" applyAlignment="1" applyProtection="1">
      <alignment horizontal="left" vertical="center" wrapText="1"/>
      <protection/>
    </xf>
    <xf numFmtId="0" fontId="69" fillId="21" borderId="66" xfId="0" applyFont="1" applyFill="1" applyBorder="1" applyAlignment="1" applyProtection="1">
      <alignment horizontal="center" vertical="center" shrinkToFit="1"/>
      <protection/>
    </xf>
    <xf numFmtId="0" fontId="69" fillId="21" borderId="67" xfId="0" applyFont="1" applyFill="1" applyBorder="1" applyAlignment="1" applyProtection="1">
      <alignment horizontal="center" vertical="center" shrinkToFit="1"/>
      <protection/>
    </xf>
    <xf numFmtId="0" fontId="69" fillId="21" borderId="102" xfId="0" applyFont="1" applyFill="1" applyBorder="1" applyAlignment="1" applyProtection="1">
      <alignment horizontal="center" vertical="center" shrinkToFit="1"/>
      <protection/>
    </xf>
    <xf numFmtId="0" fontId="65" fillId="6" borderId="95" xfId="0" applyFont="1" applyFill="1" applyBorder="1" applyAlignment="1" applyProtection="1">
      <alignment horizontal="center" vertical="center" shrinkToFit="1"/>
      <protection/>
    </xf>
    <xf numFmtId="0" fontId="65" fillId="6" borderId="33" xfId="0" applyFont="1" applyFill="1" applyBorder="1" applyAlignment="1" applyProtection="1">
      <alignment horizontal="center" vertical="center" shrinkToFit="1"/>
      <protection/>
    </xf>
    <xf numFmtId="0" fontId="65" fillId="6" borderId="96" xfId="0" applyFont="1" applyFill="1" applyBorder="1" applyAlignment="1" applyProtection="1">
      <alignment horizontal="center" vertical="center" shrinkToFit="1"/>
      <protection/>
    </xf>
    <xf numFmtId="0" fontId="76" fillId="21" borderId="58" xfId="0" applyFont="1" applyFill="1" applyBorder="1" applyAlignment="1" applyProtection="1">
      <alignment horizontal="center" vertical="center" wrapText="1"/>
      <protection/>
    </xf>
    <xf numFmtId="0" fontId="76" fillId="21" borderId="57" xfId="0" applyFont="1" applyFill="1" applyBorder="1" applyAlignment="1" applyProtection="1">
      <alignment horizontal="center" vertical="center" wrapText="1"/>
      <protection/>
    </xf>
    <xf numFmtId="0" fontId="76" fillId="21" borderId="94" xfId="0" applyFont="1" applyFill="1" applyBorder="1" applyAlignment="1" applyProtection="1">
      <alignment horizontal="center" vertical="center" wrapText="1"/>
      <protection/>
    </xf>
    <xf numFmtId="0" fontId="112" fillId="0" borderId="80" xfId="0" applyFont="1" applyBorder="1" applyAlignment="1" applyProtection="1">
      <alignment horizontal="center" vertical="center" textRotation="255"/>
      <protection/>
    </xf>
    <xf numFmtId="0" fontId="112" fillId="0" borderId="72" xfId="0" applyFont="1" applyBorder="1" applyAlignment="1" applyProtection="1">
      <alignment horizontal="center" vertical="center" textRotation="255"/>
      <protection/>
    </xf>
    <xf numFmtId="0" fontId="76" fillId="21" borderId="139" xfId="0" applyFont="1" applyFill="1" applyBorder="1" applyAlignment="1" applyProtection="1">
      <alignment horizontal="center" vertical="center" wrapText="1"/>
      <protection/>
    </xf>
    <xf numFmtId="0" fontId="76" fillId="21" borderId="32" xfId="0" applyFont="1" applyFill="1" applyBorder="1" applyAlignment="1" applyProtection="1">
      <alignment horizontal="center" vertical="center" wrapText="1"/>
      <protection/>
    </xf>
    <xf numFmtId="0" fontId="76" fillId="21" borderId="96" xfId="0" applyFont="1" applyFill="1" applyBorder="1" applyAlignment="1" applyProtection="1">
      <alignment horizontal="center" vertical="center" wrapText="1"/>
      <protection/>
    </xf>
    <xf numFmtId="0" fontId="65" fillId="6" borderId="4" xfId="0" applyFont="1" applyFill="1" applyBorder="1" applyAlignment="1" applyProtection="1">
      <alignment horizontal="center" vertical="center" wrapText="1"/>
      <protection/>
    </xf>
    <xf numFmtId="0" fontId="65" fillId="6" borderId="24" xfId="0" applyFont="1" applyFill="1" applyBorder="1" applyAlignment="1" applyProtection="1">
      <alignment horizontal="center" vertical="center" wrapText="1"/>
      <protection/>
    </xf>
    <xf numFmtId="0" fontId="65" fillId="6" borderId="26" xfId="0" applyFont="1" applyFill="1" applyBorder="1" applyAlignment="1" applyProtection="1">
      <alignment horizontal="center" vertical="center" wrapText="1"/>
      <protection/>
    </xf>
    <xf numFmtId="0" fontId="66" fillId="0" borderId="4" xfId="0" applyFont="1" applyBorder="1" applyAlignment="1" applyProtection="1">
      <alignment horizontal="right" vertical="center"/>
      <protection/>
    </xf>
    <xf numFmtId="0" fontId="66" fillId="0" borderId="24" xfId="0" applyFont="1" applyBorder="1" applyAlignment="1" applyProtection="1">
      <alignment horizontal="right" vertical="center"/>
      <protection/>
    </xf>
    <xf numFmtId="0" fontId="65" fillId="6" borderId="24" xfId="0" applyFont="1" applyFill="1" applyBorder="1" applyAlignment="1" applyProtection="1">
      <alignment horizontal="center" vertical="center"/>
      <protection/>
    </xf>
    <xf numFmtId="0" fontId="65" fillId="6" borderId="42" xfId="0" applyFont="1" applyFill="1" applyBorder="1" applyAlignment="1" applyProtection="1">
      <alignment horizontal="center" vertical="center"/>
      <protection/>
    </xf>
    <xf numFmtId="184" fontId="75" fillId="6" borderId="0" xfId="0" applyNumberFormat="1" applyFont="1" applyFill="1" applyBorder="1" applyAlignment="1" applyProtection="1">
      <alignment horizontal="center" vertical="center" shrinkToFit="1"/>
      <protection/>
    </xf>
    <xf numFmtId="0" fontId="65" fillId="0" borderId="31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 wrapText="1"/>
      <protection/>
    </xf>
    <xf numFmtId="0" fontId="126" fillId="0" borderId="140" xfId="0" applyFont="1" applyFill="1" applyBorder="1" applyAlignment="1" applyProtection="1">
      <alignment horizontal="center" vertical="center" wrapText="1"/>
      <protection/>
    </xf>
    <xf numFmtId="0" fontId="126" fillId="0" borderId="141" xfId="0" applyFont="1" applyFill="1" applyBorder="1" applyAlignment="1" applyProtection="1">
      <alignment horizontal="center" vertical="center" wrapText="1"/>
      <protection/>
    </xf>
    <xf numFmtId="0" fontId="126" fillId="0" borderId="142" xfId="0" applyFont="1" applyFill="1" applyBorder="1" applyAlignment="1" applyProtection="1">
      <alignment horizontal="center" vertical="center" wrapText="1"/>
      <protection/>
    </xf>
    <xf numFmtId="0" fontId="126" fillId="0" borderId="39" xfId="0" applyFont="1" applyFill="1" applyBorder="1" applyAlignment="1" applyProtection="1">
      <alignment horizontal="center" vertical="center" wrapText="1"/>
      <protection/>
    </xf>
    <xf numFmtId="0" fontId="126" fillId="0" borderId="0" xfId="0" applyFont="1" applyFill="1" applyBorder="1" applyAlignment="1" applyProtection="1">
      <alignment horizontal="center" vertical="center" wrapText="1"/>
      <protection/>
    </xf>
    <xf numFmtId="0" fontId="126" fillId="0" borderId="143" xfId="0" applyFont="1" applyFill="1" applyBorder="1" applyAlignment="1" applyProtection="1">
      <alignment horizontal="center" vertical="center" wrapText="1"/>
      <protection/>
    </xf>
    <xf numFmtId="0" fontId="65" fillId="0" borderId="31" xfId="0" applyFont="1" applyBorder="1" applyAlignment="1" applyProtection="1">
      <alignment horizontal="center" vertical="top" wrapText="1"/>
      <protection/>
    </xf>
    <xf numFmtId="0" fontId="65" fillId="0" borderId="0" xfId="0" applyFont="1" applyBorder="1" applyAlignment="1" applyProtection="1">
      <alignment horizontal="center" vertical="top" wrapText="1"/>
      <protection/>
    </xf>
    <xf numFmtId="0" fontId="65" fillId="0" borderId="28" xfId="0" applyFont="1" applyBorder="1" applyAlignment="1" applyProtection="1">
      <alignment horizontal="center" vertical="top" wrapText="1"/>
      <protection/>
    </xf>
    <xf numFmtId="0" fontId="65" fillId="6" borderId="0" xfId="0" applyFont="1" applyFill="1" applyBorder="1" applyAlignment="1" applyProtection="1">
      <alignment horizontal="center" vertical="top" wrapTex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5" fillId="6" borderId="28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left" wrapText="1"/>
      <protection/>
    </xf>
    <xf numFmtId="184" fontId="65" fillId="6" borderId="0" xfId="0" applyNumberFormat="1" applyFont="1" applyFill="1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 shrinkToFit="1"/>
      <protection/>
    </xf>
    <xf numFmtId="0" fontId="65" fillId="0" borderId="28" xfId="0" applyNumberFormat="1" applyFont="1" applyFill="1" applyBorder="1" applyAlignment="1" applyProtection="1">
      <alignment horizontal="center" vertical="center" shrinkToFi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66" fillId="0" borderId="0" xfId="0" applyFont="1" applyBorder="1" applyAlignment="1" applyProtection="1">
      <alignment horizontal="right" vertical="center" wrapText="1"/>
      <protection/>
    </xf>
    <xf numFmtId="0" fontId="66" fillId="0" borderId="0" xfId="0" applyFont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65" fillId="0" borderId="31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shrinkToFit="1"/>
      <protection/>
    </xf>
    <xf numFmtId="0" fontId="65" fillId="6" borderId="0" xfId="0" applyNumberFormat="1" applyFont="1" applyFill="1" applyBorder="1" applyAlignment="1" applyProtection="1">
      <alignment horizontal="center" vertical="center"/>
      <protection/>
    </xf>
    <xf numFmtId="0" fontId="65" fillId="6" borderId="0" xfId="0" applyFont="1" applyFill="1" applyBorder="1" applyAlignment="1" applyProtection="1">
      <alignment horizontal="left" vertical="center" shrinkToFit="1"/>
      <protection/>
    </xf>
    <xf numFmtId="0" fontId="66" fillId="0" borderId="144" xfId="0" applyFont="1" applyBorder="1" applyAlignment="1" applyProtection="1">
      <alignment horizontal="center" vertical="center"/>
      <protection/>
    </xf>
    <xf numFmtId="0" fontId="66" fillId="0" borderId="145" xfId="0" applyFont="1" applyBorder="1" applyAlignment="1" applyProtection="1">
      <alignment horizontal="center" vertical="center"/>
      <protection/>
    </xf>
    <xf numFmtId="0" fontId="66" fillId="0" borderId="146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66" fillId="0" borderId="109" xfId="0" applyFont="1" applyBorder="1" applyAlignment="1" applyProtection="1">
      <alignment horizontal="right" vertical="center" wrapText="1"/>
      <protection/>
    </xf>
    <xf numFmtId="0" fontId="66" fillId="0" borderId="36" xfId="0" applyFont="1" applyBorder="1" applyAlignment="1" applyProtection="1">
      <alignment horizontal="right" vertical="center" wrapText="1"/>
      <protection/>
    </xf>
    <xf numFmtId="0" fontId="66" fillId="0" borderId="55" xfId="0" applyFont="1" applyBorder="1" applyAlignment="1" applyProtection="1">
      <alignment horizontal="right" vertical="center" wrapText="1"/>
      <protection/>
    </xf>
    <xf numFmtId="179" fontId="65" fillId="6" borderId="3" xfId="0" applyNumberFormat="1" applyFont="1" applyFill="1" applyBorder="1" applyAlignment="1" applyProtection="1">
      <alignment horizontal="center" vertical="center" wrapText="1" shrinkToFit="1"/>
      <protection/>
    </xf>
    <xf numFmtId="0" fontId="65" fillId="0" borderId="69" xfId="0" applyFont="1" applyBorder="1" applyAlignment="1" applyProtection="1">
      <alignment horizontal="center" vertical="center" wrapText="1"/>
      <protection/>
    </xf>
    <xf numFmtId="0" fontId="65" fillId="0" borderId="15" xfId="0" applyFont="1" applyBorder="1" applyAlignment="1" applyProtection="1">
      <alignment horizontal="center" vertical="center" wrapText="1"/>
      <protection/>
    </xf>
    <xf numFmtId="0" fontId="65" fillId="0" borderId="10" xfId="0" applyFont="1" applyBorder="1" applyAlignment="1" applyProtection="1">
      <alignment horizontal="center" vertical="center" wrapText="1"/>
      <protection/>
    </xf>
    <xf numFmtId="0" fontId="65" fillId="0" borderId="3" xfId="0" applyFont="1" applyBorder="1" applyAlignment="1" applyProtection="1">
      <alignment horizontal="center" vertical="center" wrapText="1"/>
      <protection/>
    </xf>
    <xf numFmtId="0" fontId="65" fillId="0" borderId="16" xfId="0" applyFont="1" applyBorder="1" applyAlignment="1" applyProtection="1">
      <alignment horizontal="center" vertical="center" wrapText="1"/>
      <protection/>
    </xf>
    <xf numFmtId="0" fontId="65" fillId="0" borderId="59" xfId="0" applyFont="1" applyBorder="1" applyAlignment="1" applyProtection="1">
      <alignment horizontal="center" vertical="center" wrapText="1"/>
      <protection/>
    </xf>
    <xf numFmtId="179" fontId="65" fillId="6" borderId="59" xfId="0" applyNumberFormat="1" applyFont="1" applyFill="1" applyBorder="1" applyAlignment="1" applyProtection="1">
      <alignment horizontal="center" vertical="center" wrapText="1" shrinkToFit="1"/>
      <protection/>
    </xf>
    <xf numFmtId="0" fontId="66" fillId="0" borderId="25" xfId="0" applyFont="1" applyBorder="1" applyAlignment="1" applyProtection="1">
      <alignment horizontal="left" vertical="center" wrapText="1"/>
      <protection/>
    </xf>
    <xf numFmtId="0" fontId="66" fillId="0" borderId="51" xfId="0" applyFont="1" applyBorder="1" applyAlignment="1" applyProtection="1">
      <alignment horizontal="left" vertical="center" wrapText="1"/>
      <protection/>
    </xf>
    <xf numFmtId="0" fontId="66" fillId="0" borderId="93" xfId="0" applyFont="1" applyBorder="1" applyAlignment="1" applyProtection="1">
      <alignment horizontal="left" vertical="center" wrapText="1"/>
      <protection/>
    </xf>
    <xf numFmtId="179" fontId="65" fillId="6" borderId="3" xfId="0" applyNumberFormat="1" applyFont="1" applyFill="1" applyBorder="1" applyAlignment="1" applyProtection="1">
      <alignment horizontal="center" vertical="center" wrapText="1"/>
      <protection/>
    </xf>
    <xf numFmtId="179" fontId="65" fillId="6" borderId="59" xfId="0" applyNumberFormat="1" applyFont="1" applyFill="1" applyBorder="1" applyAlignment="1" applyProtection="1">
      <alignment horizontal="center" vertical="center" wrapText="1"/>
      <protection/>
    </xf>
    <xf numFmtId="179" fontId="65" fillId="6" borderId="3" xfId="0" applyNumberFormat="1" applyFont="1" applyFill="1" applyBorder="1" applyAlignment="1" applyProtection="1">
      <alignment horizontal="center" vertical="center"/>
      <protection/>
    </xf>
    <xf numFmtId="179" fontId="65" fillId="6" borderId="23" xfId="0" applyNumberFormat="1" applyFont="1" applyFill="1" applyBorder="1" applyAlignment="1" applyProtection="1">
      <alignment horizontal="center" vertical="center"/>
      <protection/>
    </xf>
    <xf numFmtId="179" fontId="65" fillId="6" borderId="66" xfId="0" applyNumberFormat="1" applyFont="1" applyFill="1" applyBorder="1" applyAlignment="1" applyProtection="1">
      <alignment horizontal="center" vertical="center"/>
      <protection/>
    </xf>
    <xf numFmtId="179" fontId="65" fillId="6" borderId="67" xfId="0" applyNumberFormat="1" applyFont="1" applyFill="1" applyBorder="1" applyAlignment="1" applyProtection="1">
      <alignment horizontal="center" vertical="center"/>
      <protection/>
    </xf>
    <xf numFmtId="179" fontId="65" fillId="6" borderId="102" xfId="0" applyNumberFormat="1" applyFont="1" applyFill="1" applyBorder="1" applyAlignment="1" applyProtection="1">
      <alignment horizontal="center" vertical="center"/>
      <protection/>
    </xf>
    <xf numFmtId="0" fontId="66" fillId="0" borderId="3" xfId="0" applyFont="1" applyBorder="1" applyAlignment="1" applyProtection="1">
      <alignment horizontal="center" vertical="center" wrapText="1" shrinkToFit="1"/>
      <protection/>
    </xf>
    <xf numFmtId="0" fontId="66" fillId="0" borderId="59" xfId="0" applyFont="1" applyBorder="1" applyAlignment="1" applyProtection="1">
      <alignment horizontal="center" vertical="center" wrapText="1" shrinkToFit="1"/>
      <protection/>
    </xf>
    <xf numFmtId="179" fontId="65" fillId="6" borderId="16" xfId="0" applyNumberFormat="1" applyFont="1" applyFill="1" applyBorder="1" applyAlignment="1" applyProtection="1">
      <alignment horizontal="center" vertical="center" shrinkToFit="1"/>
      <protection/>
    </xf>
    <xf numFmtId="0" fontId="66" fillId="0" borderId="109" xfId="0" applyFont="1" applyBorder="1" applyAlignment="1" applyProtection="1">
      <alignment horizontal="center" vertical="center" wrapText="1" shrinkToFit="1"/>
      <protection/>
    </xf>
    <xf numFmtId="0" fontId="66" fillId="0" borderId="36" xfId="0" applyFont="1" applyBorder="1" applyAlignment="1" applyProtection="1">
      <alignment horizontal="center" vertical="center" wrapText="1" shrinkToFit="1"/>
      <protection/>
    </xf>
    <xf numFmtId="0" fontId="66" fillId="0" borderId="55" xfId="0" applyFont="1" applyBorder="1" applyAlignment="1" applyProtection="1">
      <alignment horizontal="center" vertical="center" wrapText="1" shrinkToFit="1"/>
      <protection/>
    </xf>
    <xf numFmtId="0" fontId="66" fillId="0" borderId="25" xfId="0" applyFont="1" applyBorder="1" applyAlignment="1" applyProtection="1">
      <alignment horizontal="center" vertical="center" wrapText="1" shrinkToFit="1"/>
      <protection/>
    </xf>
    <xf numFmtId="0" fontId="66" fillId="0" borderId="51" xfId="0" applyFont="1" applyBorder="1" applyAlignment="1" applyProtection="1">
      <alignment horizontal="center" vertical="center" wrapText="1" shrinkToFit="1"/>
      <protection/>
    </xf>
    <xf numFmtId="0" fontId="66" fillId="0" borderId="93" xfId="0" applyFont="1" applyBorder="1" applyAlignment="1" applyProtection="1">
      <alignment horizontal="center" vertical="center" wrapText="1" shrinkToFit="1"/>
      <protection/>
    </xf>
    <xf numFmtId="0" fontId="65" fillId="6" borderId="70" xfId="0" applyFont="1" applyFill="1" applyBorder="1" applyAlignment="1" applyProtection="1">
      <alignment horizontal="center" vertical="center" shrinkToFit="1"/>
      <protection/>
    </xf>
    <xf numFmtId="0" fontId="65" fillId="6" borderId="101" xfId="0" applyFont="1" applyFill="1" applyBorder="1" applyAlignment="1" applyProtection="1">
      <alignment horizontal="center" vertical="center" shrinkToFit="1"/>
      <protection/>
    </xf>
    <xf numFmtId="0" fontId="0" fillId="0" borderId="140" xfId="0" applyBorder="1" applyAlignment="1" applyProtection="1">
      <alignment horizontal="center" vertical="center" wrapText="1"/>
      <protection/>
    </xf>
    <xf numFmtId="0" fontId="0" fillId="0" borderId="141" xfId="0" applyBorder="1" applyAlignment="1" applyProtection="1">
      <alignment horizontal="center" vertical="center"/>
      <protection/>
    </xf>
    <xf numFmtId="0" fontId="0" fillId="0" borderId="142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43" xfId="0" applyBorder="1" applyAlignment="1" applyProtection="1">
      <alignment horizontal="center" vertical="center"/>
      <protection/>
    </xf>
    <xf numFmtId="0" fontId="0" fillId="0" borderId="147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4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horizontal="center" vertical="center"/>
      <protection/>
    </xf>
    <xf numFmtId="0" fontId="57" fillId="0" borderId="32" xfId="0" applyFont="1" applyBorder="1" applyAlignment="1" applyProtection="1">
      <alignment horizontal="center" vertical="center" wrapText="1"/>
      <protection/>
    </xf>
    <xf numFmtId="0" fontId="57" fillId="0" borderId="33" xfId="0" applyFont="1" applyBorder="1" applyAlignment="1" applyProtection="1">
      <alignment horizontal="center" vertical="center" wrapText="1"/>
      <protection/>
    </xf>
    <xf numFmtId="0" fontId="57" fillId="0" borderId="34" xfId="0" applyFont="1" applyBorder="1" applyAlignment="1" applyProtection="1">
      <alignment horizontal="center" vertical="center" wrapText="1"/>
      <protection/>
    </xf>
    <xf numFmtId="0" fontId="57" fillId="0" borderId="24" xfId="0" applyFont="1" applyBorder="1" applyAlignment="1" applyProtection="1">
      <alignment horizontal="left" vertical="center" wrapText="1"/>
      <protection/>
    </xf>
    <xf numFmtId="0" fontId="57" fillId="0" borderId="42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 horizontal="center" vertical="center" wrapText="1"/>
      <protection/>
    </xf>
    <xf numFmtId="184" fontId="57" fillId="6" borderId="4" xfId="0" applyNumberFormat="1" applyFont="1" applyFill="1" applyBorder="1" applyAlignment="1" applyProtection="1">
      <alignment horizontal="center" vertical="center" shrinkToFit="1"/>
      <protection/>
    </xf>
    <xf numFmtId="184" fontId="57" fillId="6" borderId="24" xfId="0" applyNumberFormat="1" applyFont="1" applyFill="1" applyBorder="1" applyAlignment="1" applyProtection="1">
      <alignment horizontal="center" vertical="center" shrinkToFit="1"/>
      <protection/>
    </xf>
    <xf numFmtId="0" fontId="28" fillId="0" borderId="79" xfId="0" applyFont="1" applyBorder="1" applyAlignment="1" applyProtection="1">
      <alignment horizontal="center" vertical="center" shrinkToFit="1"/>
      <protection/>
    </xf>
    <xf numFmtId="0" fontId="28" fillId="0" borderId="24" xfId="0" applyFont="1" applyBorder="1" applyAlignment="1" applyProtection="1">
      <alignment horizontal="center" vertical="center" shrinkToFit="1"/>
      <protection/>
    </xf>
    <xf numFmtId="0" fontId="28" fillId="0" borderId="42" xfId="0" applyFont="1" applyBorder="1" applyAlignment="1" applyProtection="1">
      <alignment horizontal="center" vertical="center" shrinkToFit="1"/>
      <protection/>
    </xf>
    <xf numFmtId="49" fontId="95" fillId="0" borderId="30" xfId="0" applyNumberFormat="1" applyFont="1" applyFill="1" applyBorder="1" applyAlignment="1">
      <alignment horizontal="left" vertical="center" wrapText="1" shrinkToFit="1"/>
    </xf>
    <xf numFmtId="49" fontId="95" fillId="0" borderId="0" xfId="0" applyNumberFormat="1" applyFont="1" applyFill="1" applyBorder="1" applyAlignment="1">
      <alignment horizontal="left" vertical="center" shrinkToFit="1"/>
    </xf>
    <xf numFmtId="0" fontId="36" fillId="0" borderId="35" xfId="0" applyFont="1" applyBorder="1" applyAlignment="1" applyProtection="1">
      <alignment horizontal="left" vertical="top" wrapText="1"/>
      <protection/>
    </xf>
    <xf numFmtId="0" fontId="36" fillId="0" borderId="36" xfId="0" applyFont="1" applyBorder="1" applyAlignment="1" applyProtection="1">
      <alignment horizontal="left" vertical="top" wrapText="1"/>
      <protection/>
    </xf>
    <xf numFmtId="0" fontId="36" fillId="0" borderId="37" xfId="0" applyFont="1" applyBorder="1" applyAlignment="1" applyProtection="1">
      <alignment horizontal="left" vertical="top" wrapText="1"/>
      <protection/>
    </xf>
    <xf numFmtId="0" fontId="36" fillId="0" borderId="31" xfId="0" applyFont="1" applyBorder="1" applyAlignment="1" applyProtection="1">
      <alignment horizontal="left" vertical="top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36" fillId="0" borderId="28" xfId="0" applyFont="1" applyBorder="1" applyAlignment="1" applyProtection="1">
      <alignment horizontal="left" vertical="top" wrapText="1"/>
      <protection/>
    </xf>
    <xf numFmtId="0" fontId="36" fillId="0" borderId="32" xfId="0" applyFont="1" applyBorder="1" applyAlignment="1" applyProtection="1">
      <alignment horizontal="left" vertical="top" wrapText="1"/>
      <protection/>
    </xf>
    <xf numFmtId="0" fontId="36" fillId="0" borderId="33" xfId="0" applyFont="1" applyBorder="1" applyAlignment="1" applyProtection="1">
      <alignment horizontal="left" vertical="top" wrapText="1"/>
      <protection/>
    </xf>
    <xf numFmtId="0" fontId="36" fillId="0" borderId="34" xfId="0" applyFont="1" applyBorder="1" applyAlignment="1" applyProtection="1">
      <alignment horizontal="left" vertical="top" wrapText="1"/>
      <protection/>
    </xf>
    <xf numFmtId="0" fontId="57" fillId="0" borderId="31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28" xfId="0" applyFont="1" applyBorder="1" applyAlignment="1" applyProtection="1">
      <alignment horizontal="center" vertical="center" wrapText="1"/>
      <protection/>
    </xf>
    <xf numFmtId="0" fontId="34" fillId="0" borderId="4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28" fillId="6" borderId="24" xfId="0" applyFont="1" applyFill="1" applyBorder="1" applyAlignment="1" applyProtection="1">
      <alignment horizontal="center" vertical="center" wrapText="1"/>
      <protection/>
    </xf>
    <xf numFmtId="0" fontId="28" fillId="6" borderId="42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Border="1" applyAlignment="1" applyProtection="1">
      <alignment horizontal="left" vertical="center" wrapText="1"/>
      <protection/>
    </xf>
    <xf numFmtId="0" fontId="58" fillId="0" borderId="59" xfId="0" applyFont="1" applyBorder="1" applyAlignment="1" applyProtection="1">
      <alignment horizontal="left" vertical="center" wrapText="1"/>
      <protection/>
    </xf>
    <xf numFmtId="0" fontId="26" fillId="0" borderId="148" xfId="0" applyFont="1" applyBorder="1" applyAlignment="1" applyProtection="1">
      <alignment horizontal="justify" vertical="center" wrapText="1"/>
      <protection/>
    </xf>
    <xf numFmtId="0" fontId="26" fillId="0" borderId="1" xfId="0" applyFont="1" applyBorder="1" applyAlignment="1" applyProtection="1">
      <alignment horizontal="justify" vertical="center" wrapText="1"/>
      <protection/>
    </xf>
    <xf numFmtId="0" fontId="27" fillId="0" borderId="31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34" fillId="0" borderId="25" xfId="0" applyFont="1" applyBorder="1" applyAlignment="1" applyProtection="1">
      <alignment horizontal="left" vertical="center" wrapText="1"/>
      <protection/>
    </xf>
    <xf numFmtId="0" fontId="34" fillId="0" borderId="51" xfId="0" applyFont="1" applyBorder="1" applyAlignment="1" applyProtection="1">
      <alignment horizontal="left" vertical="center" wrapText="1"/>
      <protection/>
    </xf>
    <xf numFmtId="0" fontId="34" fillId="0" borderId="93" xfId="0" applyFont="1" applyBorder="1" applyAlignment="1" applyProtection="1">
      <alignment horizontal="left" vertical="center" wrapText="1"/>
      <protection/>
    </xf>
    <xf numFmtId="0" fontId="115" fillId="0" borderId="25" xfId="0" applyFont="1" applyBorder="1" applyAlignment="1" applyProtection="1">
      <alignment horizontal="center" vertical="center" shrinkToFit="1"/>
      <protection/>
    </xf>
    <xf numFmtId="0" fontId="115" fillId="0" borderId="51" xfId="0" applyFont="1" applyBorder="1" applyAlignment="1" applyProtection="1">
      <alignment horizontal="center" vertical="center" shrinkToFit="1"/>
      <protection/>
    </xf>
    <xf numFmtId="0" fontId="115" fillId="0" borderId="93" xfId="0" applyFont="1" applyBorder="1" applyAlignment="1" applyProtection="1">
      <alignment horizontal="center" vertical="center" shrinkToFit="1"/>
      <protection/>
    </xf>
    <xf numFmtId="0" fontId="28" fillId="0" borderId="31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9" fillId="0" borderId="104" xfId="0" applyFont="1" applyBorder="1" applyAlignment="1" applyProtection="1">
      <alignment horizontal="center" vertical="center" wrapText="1"/>
      <protection/>
    </xf>
    <xf numFmtId="0" fontId="29" fillId="0" borderId="70" xfId="0" applyFont="1" applyBorder="1" applyAlignment="1" applyProtection="1">
      <alignment horizontal="center" vertical="center" wrapText="1"/>
      <protection/>
    </xf>
    <xf numFmtId="0" fontId="29" fillId="0" borderId="101" xfId="0" applyFont="1" applyBorder="1" applyAlignment="1" applyProtection="1">
      <alignment horizontal="center" vertical="center" wrapText="1"/>
      <protection/>
    </xf>
    <xf numFmtId="0" fontId="28" fillId="0" borderId="9" xfId="0" applyFont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184" fontId="114" fillId="6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8" fillId="6" borderId="24" xfId="0" applyFont="1" applyFill="1" applyBorder="1" applyAlignment="1" applyProtection="1">
      <alignment horizontal="center" vertical="center" shrinkToFit="1"/>
      <protection/>
    </xf>
    <xf numFmtId="0" fontId="28" fillId="6" borderId="42" xfId="0" applyFont="1" applyFill="1" applyBorder="1" applyAlignment="1" applyProtection="1">
      <alignment horizontal="center" vertical="center" shrinkToFit="1"/>
      <protection/>
    </xf>
    <xf numFmtId="184" fontId="113" fillId="6" borderId="24" xfId="0" applyNumberFormat="1" applyFont="1" applyFill="1" applyBorder="1" applyAlignment="1" applyProtection="1">
      <alignment horizontal="center" vertical="center" wrapText="1"/>
      <protection/>
    </xf>
    <xf numFmtId="0" fontId="34" fillId="0" borderId="4" xfId="0" applyFont="1" applyBorder="1" applyAlignment="1" applyProtection="1">
      <alignment horizontal="left" vertical="center" wrapText="1"/>
      <protection/>
    </xf>
    <xf numFmtId="0" fontId="34" fillId="0" borderId="24" xfId="0" applyFont="1" applyBorder="1" applyAlignment="1" applyProtection="1">
      <alignment horizontal="left" vertical="center" wrapText="1"/>
      <protection/>
    </xf>
    <xf numFmtId="0" fontId="34" fillId="0" borderId="26" xfId="0" applyFont="1" applyBorder="1" applyAlignment="1" applyProtection="1">
      <alignment horizontal="left" vertical="center" wrapText="1"/>
      <protection/>
    </xf>
    <xf numFmtId="0" fontId="115" fillId="0" borderId="4" xfId="0" applyFont="1" applyBorder="1" applyAlignment="1" applyProtection="1">
      <alignment horizontal="center" vertical="center" shrinkToFit="1"/>
      <protection/>
    </xf>
    <xf numFmtId="0" fontId="115" fillId="0" borderId="24" xfId="0" applyFont="1" applyBorder="1" applyAlignment="1" applyProtection="1">
      <alignment horizontal="center" vertical="center" shrinkToFit="1"/>
      <protection/>
    </xf>
    <xf numFmtId="0" fontId="115" fillId="0" borderId="26" xfId="0" applyFont="1" applyBorder="1" applyAlignment="1" applyProtection="1">
      <alignment horizontal="center" vertical="center" shrinkToFit="1"/>
      <protection/>
    </xf>
    <xf numFmtId="0" fontId="59" fillId="6" borderId="12" xfId="0" applyFont="1" applyFill="1" applyBorder="1" applyAlignment="1" applyProtection="1">
      <alignment horizontal="center" vertical="center" wrapText="1"/>
      <protection/>
    </xf>
    <xf numFmtId="0" fontId="59" fillId="6" borderId="13" xfId="0" applyFont="1" applyFill="1" applyBorder="1" applyAlignment="1" applyProtection="1">
      <alignment horizontal="center" vertical="center" wrapText="1"/>
      <protection/>
    </xf>
    <xf numFmtId="0" fontId="59" fillId="6" borderId="14" xfId="0" applyFont="1" applyFill="1" applyBorder="1" applyAlignment="1" applyProtection="1">
      <alignment horizontal="center" vertical="center" wrapText="1"/>
      <protection/>
    </xf>
    <xf numFmtId="0" fontId="37" fillId="6" borderId="104" xfId="0" applyFont="1" applyFill="1" applyBorder="1" applyAlignment="1" applyProtection="1">
      <alignment horizontal="center" vertical="top" wrapText="1"/>
      <protection/>
    </xf>
    <xf numFmtId="0" fontId="37" fillId="6" borderId="70" xfId="0" applyFont="1" applyFill="1" applyBorder="1" applyAlignment="1" applyProtection="1">
      <alignment horizontal="center" vertical="top" wrapText="1"/>
      <protection/>
    </xf>
    <xf numFmtId="0" fontId="37" fillId="6" borderId="101" xfId="0" applyFont="1" applyFill="1" applyBorder="1" applyAlignment="1" applyProtection="1">
      <alignment horizontal="center" vertical="top" wrapText="1"/>
      <protection/>
    </xf>
    <xf numFmtId="0" fontId="58" fillId="0" borderId="10" xfId="0" applyFont="1" applyBorder="1" applyAlignment="1" applyProtection="1">
      <alignment horizontal="left" vertical="center" wrapText="1"/>
      <protection/>
    </xf>
    <xf numFmtId="0" fontId="58" fillId="0" borderId="3" xfId="0" applyFont="1" applyBorder="1" applyAlignment="1" applyProtection="1">
      <alignment horizontal="left" vertical="center" wrapText="1"/>
      <protection/>
    </xf>
    <xf numFmtId="0" fontId="58" fillId="0" borderId="10" xfId="0" applyFont="1" applyBorder="1" applyAlignment="1" applyProtection="1">
      <alignment horizontal="left" vertical="center" shrinkToFit="1"/>
      <protection/>
    </xf>
    <xf numFmtId="0" fontId="58" fillId="0" borderId="3" xfId="0" applyFont="1" applyBorder="1" applyAlignment="1" applyProtection="1">
      <alignment horizontal="left" vertical="center" shrinkToFit="1"/>
      <protection/>
    </xf>
    <xf numFmtId="0" fontId="58" fillId="0" borderId="79" xfId="0" applyFont="1" applyBorder="1" applyAlignment="1" applyProtection="1">
      <alignment horizontal="left" vertical="center" shrinkToFit="1"/>
      <protection/>
    </xf>
    <xf numFmtId="0" fontId="58" fillId="0" borderId="26" xfId="0" applyFont="1" applyBorder="1" applyAlignment="1" applyProtection="1">
      <alignment horizontal="left" vertical="center" shrinkToFi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8" fillId="0" borderId="49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3" xfId="0" applyFont="1" applyBorder="1" applyAlignment="1" applyProtection="1">
      <alignment horizontal="center" vertical="center" wrapText="1"/>
      <protection/>
    </xf>
    <xf numFmtId="0" fontId="39" fillId="0" borderId="80" xfId="0" applyFont="1" applyBorder="1" applyAlignment="1" applyProtection="1">
      <alignment horizontal="left" vertical="center" wrapText="1"/>
      <protection/>
    </xf>
    <xf numFmtId="0" fontId="39" fillId="0" borderId="38" xfId="0" applyFont="1" applyBorder="1" applyAlignment="1" applyProtection="1">
      <alignment horizontal="left" vertical="center" wrapText="1"/>
      <protection/>
    </xf>
    <xf numFmtId="0" fontId="38" fillId="0" borderId="35" xfId="0" applyFont="1" applyBorder="1" applyAlignment="1" applyProtection="1">
      <alignment horizontal="left" vertical="top" wrapText="1"/>
      <protection/>
    </xf>
    <xf numFmtId="0" fontId="38" fillId="0" borderId="36" xfId="0" applyFont="1" applyBorder="1" applyAlignment="1" applyProtection="1">
      <alignment horizontal="left" vertical="top" wrapText="1"/>
      <protection/>
    </xf>
    <xf numFmtId="0" fontId="38" fillId="0" borderId="37" xfId="0" applyFont="1" applyBorder="1" applyAlignment="1" applyProtection="1">
      <alignment horizontal="left" vertical="top" wrapText="1"/>
      <protection/>
    </xf>
    <xf numFmtId="0" fontId="38" fillId="0" borderId="31" xfId="0" applyFont="1" applyBorder="1" applyAlignment="1" applyProtection="1">
      <alignment horizontal="left" vertical="top" wrapText="1"/>
      <protection/>
    </xf>
    <xf numFmtId="0" fontId="38" fillId="0" borderId="0" xfId="0" applyFont="1" applyBorder="1" applyAlignment="1" applyProtection="1">
      <alignment horizontal="left" vertical="top" wrapText="1"/>
      <protection/>
    </xf>
    <xf numFmtId="0" fontId="38" fillId="0" borderId="28" xfId="0" applyFont="1" applyBorder="1" applyAlignment="1" applyProtection="1">
      <alignment horizontal="left" vertical="top" wrapText="1"/>
      <protection/>
    </xf>
    <xf numFmtId="0" fontId="34" fillId="0" borderId="32" xfId="0" applyFont="1" applyBorder="1" applyAlignment="1" applyProtection="1">
      <alignment horizontal="left" vertical="center" wrapText="1"/>
      <protection/>
    </xf>
    <xf numFmtId="0" fontId="34" fillId="0" borderId="33" xfId="0" applyFont="1" applyBorder="1" applyAlignment="1" applyProtection="1">
      <alignment horizontal="left" vertical="center" wrapText="1"/>
      <protection/>
    </xf>
    <xf numFmtId="0" fontId="108" fillId="4" borderId="0" xfId="0" applyFont="1" applyFill="1" applyAlignment="1">
      <alignment horizontal="left" vertical="center"/>
    </xf>
    <xf numFmtId="0" fontId="41" fillId="9" borderId="3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97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9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left" vertical="center" wrapText="1"/>
    </xf>
    <xf numFmtId="0" fontId="44" fillId="6" borderId="70" xfId="0" applyFont="1" applyFill="1" applyBorder="1" applyAlignment="1">
      <alignment horizontal="left" vertical="center" wrapText="1"/>
    </xf>
    <xf numFmtId="0" fontId="44" fillId="6" borderId="101" xfId="0" applyFont="1" applyFill="1" applyBorder="1" applyAlignment="1">
      <alignment horizontal="left" vertical="center" wrapText="1"/>
    </xf>
    <xf numFmtId="0" fontId="44" fillId="6" borderId="4" xfId="0" applyFont="1" applyFill="1" applyBorder="1" applyAlignment="1">
      <alignment horizontal="left" vertical="center" wrapText="1"/>
    </xf>
    <xf numFmtId="0" fontId="44" fillId="6" borderId="24" xfId="0" applyFont="1" applyFill="1" applyBorder="1" applyAlignment="1">
      <alignment horizontal="left" vertical="center" wrapText="1"/>
    </xf>
    <xf numFmtId="0" fontId="44" fillId="6" borderId="42" xfId="0" applyFont="1" applyFill="1" applyBorder="1" applyAlignment="1">
      <alignment horizontal="left" vertical="center" wrapText="1"/>
    </xf>
    <xf numFmtId="0" fontId="44" fillId="6" borderId="66" xfId="0" applyFont="1" applyFill="1" applyBorder="1" applyAlignment="1">
      <alignment horizontal="left" vertical="center" wrapText="1"/>
    </xf>
    <xf numFmtId="0" fontId="0" fillId="6" borderId="67" xfId="0" applyFill="1" applyBorder="1" applyAlignment="1">
      <alignment horizontal="left" vertical="center"/>
    </xf>
    <xf numFmtId="0" fontId="0" fillId="6" borderId="102" xfId="0" applyFill="1" applyBorder="1" applyAlignment="1">
      <alignment horizontal="left" vertical="center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6" fillId="6" borderId="80" xfId="0" applyFont="1" applyFill="1" applyBorder="1" applyAlignment="1" applyProtection="1">
      <alignment horizontal="center" vertical="center" wrapText="1"/>
      <protection/>
    </xf>
    <xf numFmtId="0" fontId="46" fillId="6" borderId="72" xfId="0" applyFont="1" applyFill="1" applyBorder="1" applyAlignment="1" applyProtection="1">
      <alignment horizontal="center" vertical="center" wrapText="1"/>
      <protection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60" fillId="6" borderId="0" xfId="0" applyFont="1" applyFill="1" applyAlignment="1">
      <alignment horizontal="center" vertical="center"/>
    </xf>
    <xf numFmtId="0" fontId="61" fillId="6" borderId="0" xfId="0" applyFont="1" applyFill="1" applyAlignment="1">
      <alignment horizontal="right" vertical="center" indent="2"/>
    </xf>
    <xf numFmtId="0" fontId="62" fillId="0" borderId="0" xfId="0" applyFont="1" applyAlignment="1">
      <alignment horizontal="center" vertical="center"/>
    </xf>
    <xf numFmtId="0" fontId="2" fillId="3" borderId="3" xfId="21" applyFont="1" applyFill="1" applyBorder="1" applyAlignment="1" applyProtection="1">
      <alignment horizontal="center" vertical="center"/>
      <protection/>
    </xf>
    <xf numFmtId="0" fontId="0" fillId="3" borderId="2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2" fillId="3" borderId="25" xfId="21" applyFont="1" applyFill="1" applyBorder="1" applyAlignment="1" applyProtection="1">
      <alignment horizontal="center" vertical="center"/>
      <protection/>
    </xf>
    <xf numFmtId="0" fontId="2" fillId="3" borderId="51" xfId="21" applyFont="1" applyFill="1" applyBorder="1" applyAlignment="1" applyProtection="1">
      <alignment horizontal="center" vertical="center"/>
      <protection/>
    </xf>
    <xf numFmtId="0" fontId="2" fillId="3" borderId="3" xfId="21" applyFont="1" applyFill="1" applyBorder="1" applyAlignment="1" applyProtection="1">
      <alignment horizontal="center" vertical="center"/>
      <protection/>
    </xf>
    <xf numFmtId="0" fontId="8" fillId="3" borderId="3" xfId="23" applyFont="1" applyFill="1" applyBorder="1" applyAlignment="1" applyProtection="1">
      <alignment horizontal="center" vertical="center"/>
      <protection/>
    </xf>
    <xf numFmtId="0" fontId="0" fillId="3" borderId="53" xfId="0" applyFill="1" applyBorder="1" applyAlignment="1" applyProtection="1">
      <alignment horizontal="center" vertical="center"/>
      <protection/>
    </xf>
    <xf numFmtId="0" fontId="0" fillId="3" borderId="49" xfId="0" applyFill="1" applyBorder="1" applyAlignment="1" applyProtection="1">
      <alignment horizontal="center" vertical="center"/>
      <protection/>
    </xf>
    <xf numFmtId="0" fontId="8" fillId="22" borderId="3" xfId="23" applyFont="1" applyFill="1" applyBorder="1" applyAlignment="1" applyProtection="1">
      <alignment horizontal="center" vertical="center" shrinkToFit="1"/>
      <protection/>
    </xf>
    <xf numFmtId="0" fontId="5" fillId="9" borderId="3" xfId="23" applyFill="1" applyBorder="1" applyAlignment="1" applyProtection="1">
      <alignment horizontal="center" vertical="center"/>
      <protection/>
    </xf>
    <xf numFmtId="0" fontId="5" fillId="4" borderId="3" xfId="23" applyFill="1" applyBorder="1" applyAlignment="1" applyProtection="1">
      <alignment horizontal="center" vertical="center"/>
      <protection/>
    </xf>
    <xf numFmtId="0" fontId="0" fillId="12" borderId="69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vertical="center" wrapText="1"/>
    </xf>
    <xf numFmtId="0" fontId="0" fillId="12" borderId="69" xfId="0" applyFill="1" applyBorder="1" applyAlignment="1">
      <alignment horizontal="left" vertical="center" wrapText="1"/>
    </xf>
    <xf numFmtId="0" fontId="0" fillId="12" borderId="15" xfId="0" applyFill="1" applyBorder="1" applyAlignment="1">
      <alignment horizontal="left" vertical="center" wrapText="1"/>
    </xf>
    <xf numFmtId="0" fontId="0" fillId="12" borderId="43" xfId="0" applyFill="1" applyBorder="1" applyAlignment="1">
      <alignment horizontal="left" vertical="center" wrapText="1"/>
    </xf>
    <xf numFmtId="0" fontId="0" fillId="15" borderId="68" xfId="0" applyFill="1" applyBorder="1" applyAlignment="1">
      <alignment horizontal="left" vertical="center" wrapText="1"/>
    </xf>
    <xf numFmtId="0" fontId="0" fillId="15" borderId="15" xfId="0" applyFill="1" applyBorder="1" applyAlignment="1">
      <alignment horizontal="left" vertical="center" wrapText="1"/>
    </xf>
    <xf numFmtId="0" fontId="0" fillId="15" borderId="17" xfId="0" applyFill="1" applyBorder="1" applyAlignment="1">
      <alignment horizontal="left" vertical="center" wrapText="1"/>
    </xf>
    <xf numFmtId="0" fontId="45" fillId="15" borderId="69" xfId="0" applyFont="1" applyFill="1" applyBorder="1" applyAlignment="1">
      <alignment horizontal="center" vertical="center" wrapText="1"/>
    </xf>
    <xf numFmtId="0" fontId="45" fillId="15" borderId="15" xfId="0" applyFont="1" applyFill="1" applyBorder="1" applyAlignment="1">
      <alignment horizontal="center" vertical="center" wrapText="1"/>
    </xf>
    <xf numFmtId="0" fontId="45" fillId="15" borderId="43" xfId="0" applyFont="1" applyFill="1" applyBorder="1" applyAlignment="1">
      <alignment horizontal="center" vertical="center" wrapText="1"/>
    </xf>
    <xf numFmtId="0" fontId="25" fillId="15" borderId="68" xfId="0" applyFont="1" applyFill="1" applyBorder="1" applyAlignment="1">
      <alignment horizontal="center" vertical="center" wrapText="1"/>
    </xf>
    <xf numFmtId="0" fontId="25" fillId="15" borderId="15" xfId="0" applyFont="1" applyFill="1" applyBorder="1" applyAlignment="1">
      <alignment horizontal="center" vertical="center" wrapText="1"/>
    </xf>
    <xf numFmtId="0" fontId="25" fillId="15" borderId="17" xfId="0" applyFont="1" applyFill="1" applyBorder="1" applyAlignment="1">
      <alignment horizontal="center" vertical="center" wrapText="1"/>
    </xf>
    <xf numFmtId="0" fontId="0" fillId="15" borderId="43" xfId="0" applyFill="1" applyBorder="1" applyAlignment="1">
      <alignment horizontal="left" vertical="center" wrapText="1"/>
    </xf>
    <xf numFmtId="0" fontId="0" fillId="16" borderId="69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43" xfId="0" applyFill="1" applyBorder="1" applyAlignment="1">
      <alignment horizontal="center" vertical="center" wrapText="1"/>
    </xf>
    <xf numFmtId="0" fontId="0" fillId="15" borderId="68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 vertical="center" wrapText="1"/>
    </xf>
    <xf numFmtId="0" fontId="0" fillId="12" borderId="68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5" borderId="69" xfId="0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/>
    </xf>
    <xf numFmtId="0" fontId="25" fillId="15" borderId="69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69" xfId="0" applyFont="1" applyFill="1" applyBorder="1" applyAlignment="1">
      <alignment horizontal="center" vertical="center" wrapText="1" shrinkToFit="1"/>
    </xf>
    <xf numFmtId="0" fontId="25" fillId="15" borderId="15" xfId="0" applyFont="1" applyFill="1" applyBorder="1" applyAlignment="1">
      <alignment horizontal="center" vertical="center" wrapText="1" shrinkToFit="1"/>
    </xf>
    <xf numFmtId="0" fontId="25" fillId="15" borderId="43" xfId="0" applyFont="1" applyFill="1" applyBorder="1" applyAlignment="1">
      <alignment horizontal="center" vertical="center" wrapText="1" shrinkToFit="1"/>
    </xf>
    <xf numFmtId="0" fontId="25" fillId="12" borderId="69" xfId="0" applyFont="1" applyFill="1" applyBorder="1" applyAlignment="1">
      <alignment horizontal="center" vertical="center" wrapText="1"/>
    </xf>
    <xf numFmtId="0" fontId="25" fillId="12" borderId="15" xfId="0" applyFont="1" applyFill="1" applyBorder="1" applyAlignment="1">
      <alignment horizontal="center" vertical="center" wrapText="1"/>
    </xf>
    <xf numFmtId="0" fontId="25" fillId="12" borderId="43" xfId="0" applyFont="1" applyFill="1" applyBorder="1" applyAlignment="1">
      <alignment horizontal="center" vertical="center" wrapText="1"/>
    </xf>
    <xf numFmtId="198" fontId="25" fillId="12" borderId="68" xfId="0" applyNumberFormat="1" applyFont="1" applyFill="1" applyBorder="1" applyAlignment="1">
      <alignment horizontal="center" vertical="center" wrapText="1"/>
    </xf>
    <xf numFmtId="198" fontId="25" fillId="12" borderId="15" xfId="0" applyNumberFormat="1" applyFont="1" applyFill="1" applyBorder="1" applyAlignment="1">
      <alignment horizontal="center" vertical="center" wrapText="1"/>
    </xf>
    <xf numFmtId="198" fontId="25" fillId="12" borderId="17" xfId="0" applyNumberFormat="1" applyFont="1" applyFill="1" applyBorder="1" applyAlignment="1">
      <alignment horizontal="center" vertical="center" wrapText="1"/>
    </xf>
    <xf numFmtId="0" fontId="25" fillId="12" borderId="69" xfId="0" applyFont="1" applyFill="1" applyBorder="1" applyAlignment="1">
      <alignment horizontal="center" vertical="center" wrapText="1" shrinkToFit="1"/>
    </xf>
    <xf numFmtId="0" fontId="25" fillId="12" borderId="15" xfId="0" applyFont="1" applyFill="1" applyBorder="1" applyAlignment="1">
      <alignment horizontal="center" vertical="center" wrapText="1" shrinkToFit="1"/>
    </xf>
    <xf numFmtId="0" fontId="25" fillId="12" borderId="43" xfId="0" applyFont="1" applyFill="1" applyBorder="1" applyAlignment="1">
      <alignment horizontal="center" vertical="center" wrapText="1" shrinkToFit="1"/>
    </xf>
    <xf numFmtId="0" fontId="45" fillId="15" borderId="68" xfId="0" applyFont="1" applyFill="1" applyBorder="1" applyAlignment="1">
      <alignment horizontal="center" vertical="center" wrapText="1"/>
    </xf>
    <xf numFmtId="0" fontId="45" fillId="15" borderId="17" xfId="0" applyFont="1" applyFill="1" applyBorder="1" applyAlignment="1">
      <alignment horizontal="center" vertical="center" wrapText="1"/>
    </xf>
    <xf numFmtId="0" fontId="45" fillId="12" borderId="68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25" fillId="12" borderId="68" xfId="0" applyFont="1" applyFill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45" fillId="12" borderId="69" xfId="0" applyFont="1" applyFill="1" applyBorder="1" applyAlignment="1">
      <alignment horizontal="center" vertical="center" wrapText="1"/>
    </xf>
    <xf numFmtId="0" fontId="45" fillId="12" borderId="43" xfId="0" applyFont="1" applyFill="1" applyBorder="1" applyAlignment="1">
      <alignment horizontal="center" vertical="center" wrapText="1"/>
    </xf>
    <xf numFmtId="0" fontId="45" fillId="15" borderId="104" xfId="0" applyFont="1" applyFill="1" applyBorder="1" applyAlignment="1">
      <alignment horizontal="center" vertical="center" wrapText="1"/>
    </xf>
    <xf numFmtId="0" fontId="45" fillId="15" borderId="70" xfId="0" applyFont="1" applyFill="1" applyBorder="1" applyAlignment="1">
      <alignment horizontal="center" vertical="center" wrapText="1"/>
    </xf>
    <xf numFmtId="0" fontId="45" fillId="15" borderId="101" xfId="0" applyFont="1" applyFill="1" applyBorder="1" applyAlignment="1">
      <alignment horizontal="center" vertical="center" wrapText="1"/>
    </xf>
    <xf numFmtId="0" fontId="25" fillId="15" borderId="104" xfId="0" applyFont="1" applyFill="1" applyBorder="1" applyAlignment="1">
      <alignment horizontal="center" vertical="center" wrapText="1"/>
    </xf>
    <xf numFmtId="0" fontId="25" fillId="15" borderId="101" xfId="0" applyFont="1" applyFill="1" applyBorder="1" applyAlignment="1">
      <alignment horizontal="center" vertical="center" wrapText="1"/>
    </xf>
    <xf numFmtId="49" fontId="128" fillId="11" borderId="149" xfId="33" applyNumberFormat="1" applyFont="1" applyFill="1" applyBorder="1" applyAlignment="1">
      <alignment horizontal="center" vertical="center" wrapText="1"/>
      <protection/>
    </xf>
    <xf numFmtId="49" fontId="128" fillId="11" borderId="150" xfId="33" applyNumberFormat="1" applyFont="1" applyFill="1" applyBorder="1" applyAlignment="1">
      <alignment horizontal="center" vertical="center" wrapText="1"/>
      <protection/>
    </xf>
    <xf numFmtId="49" fontId="128" fillId="11" borderId="151" xfId="33" applyNumberFormat="1" applyFont="1" applyFill="1" applyBorder="1" applyAlignment="1">
      <alignment horizontal="center" vertical="center" wrapText="1"/>
      <protection/>
    </xf>
    <xf numFmtId="49" fontId="128" fillId="11" borderId="152" xfId="33" applyNumberFormat="1" applyFont="1" applyFill="1" applyBorder="1" applyAlignment="1">
      <alignment horizontal="center" vertical="center" wrapText="1"/>
      <protection/>
    </xf>
    <xf numFmtId="49" fontId="128" fillId="11" borderId="92" xfId="33" applyNumberFormat="1" applyFont="1" applyFill="1" applyBorder="1" applyAlignment="1">
      <alignment horizontal="center" vertical="center" wrapText="1"/>
      <protection/>
    </xf>
    <xf numFmtId="49" fontId="129" fillId="11" borderId="152" xfId="33" applyNumberFormat="1" applyFont="1" applyFill="1" applyBorder="1" applyAlignment="1">
      <alignment horizontal="center" vertical="center" wrapText="1"/>
      <protection/>
    </xf>
    <xf numFmtId="49" fontId="129" fillId="11" borderId="92" xfId="33" applyNumberFormat="1" applyFont="1" applyFill="1" applyBorder="1" applyAlignment="1">
      <alignment horizontal="center" vertical="center" wrapText="1"/>
      <protection/>
    </xf>
    <xf numFmtId="49" fontId="128" fillId="15" borderId="149" xfId="33" applyNumberFormat="1" applyFont="1" applyFill="1" applyBorder="1" applyAlignment="1">
      <alignment horizontal="center" vertical="center" wrapText="1"/>
      <protection/>
    </xf>
    <xf numFmtId="49" fontId="128" fillId="15" borderId="150" xfId="33" applyNumberFormat="1" applyFont="1" applyFill="1" applyBorder="1" applyAlignment="1">
      <alignment horizontal="center" vertical="center" wrapText="1"/>
      <protection/>
    </xf>
    <xf numFmtId="49" fontId="128" fillId="15" borderId="151" xfId="33" applyNumberFormat="1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표준 2" xfId="21"/>
    <cellStyle name="표준 3" xfId="22"/>
    <cellStyle name="표준 4" xfId="23"/>
    <cellStyle name="표준 5" xfId="24"/>
    <cellStyle name="하이퍼링크" xfId="25"/>
    <cellStyle name="표준 2 4" xfId="26"/>
    <cellStyle name="표준 6" xfId="27"/>
    <cellStyle name="표준 2 2" xfId="28"/>
    <cellStyle name="표준 7" xfId="29"/>
    <cellStyle name="표준 2 3" xfId="30"/>
    <cellStyle name="표준 6 2" xfId="31"/>
    <cellStyle name="표준 7 2" xfId="32"/>
    <cellStyle name="표준 8" xfId="33"/>
  </cellStyles>
  <dxfs count="64">
    <dxf>
      <fill>
        <patternFill>
          <bgColor theme="4" tint="0.7999799847602844"/>
        </patternFill>
      </fill>
      <border/>
    </dxf>
    <dxf>
      <fill>
        <patternFill>
          <bgColor theme="4" tint="0.7999799847602844"/>
        </patternFill>
      </fill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strike/>
        <color rgb="FFFF0066"/>
      </font>
      <fill>
        <patternFill>
          <bgColor theme="9" tint="0.7999799847602844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/>
      </fill>
      <border/>
    </dxf>
    <dxf>
      <font>
        <b/>
        <i/>
        <strike/>
        <color rgb="FFFF0066"/>
      </font>
      <fill>
        <patternFill>
          <bgColor theme="9" tint="0.7999799847602844"/>
        </patternFill>
      </fill>
      <border/>
    </dxf>
    <dxf>
      <font>
        <b/>
        <i/>
        <color rgb="FFFF0066"/>
      </font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color rgb="FFFF0066"/>
      </font>
      <fill>
        <patternFill>
          <bgColor theme="9" tint="0.7999799847602844"/>
        </patternFill>
      </fill>
      <border/>
    </dxf>
    <dxf>
      <font>
        <b/>
        <i val="0"/>
        <u val="none"/>
        <color rgb="FFFF0066"/>
      </font>
      <fill>
        <patternFill>
          <bgColor theme="9" tint="0.5999600291252136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color theme="0" tint="-0.04997999966144562"/>
      </font>
      <fill>
        <patternFill patternType="lightUp"/>
      </fill>
      <border/>
    </dxf>
    <dxf>
      <font>
        <b/>
        <i val="0"/>
        <color rgb="FFFF0066"/>
      </font>
      <border/>
    </dxf>
    <dxf>
      <font>
        <color rgb="FFFF0000"/>
      </font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ill>
        <patternFill>
          <bgColor theme="0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b/>
        <i val="0"/>
        <strike val="0"/>
        <color rgb="FFFF0000"/>
      </font>
      <fill>
        <patternFill patternType="solid">
          <bgColor rgb="FFCCFFCC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/>
      </font>
      <fill>
        <patternFill>
          <bgColor theme="0" tint="-0.04997999966144562"/>
        </patternFill>
      </fill>
      <border/>
    </dxf>
    <dxf>
      <font>
        <i val="0"/>
        <name val="맑은 고딕"/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i val="0"/>
        <strike val="0"/>
        <name val="맑은 고딕"/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b/>
        <i val="0"/>
        <u val="none"/>
        <strike/>
        <color rgb="FFFF0066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strike/>
        <color rgb="FFFF0000"/>
      </font>
      <fill>
        <patternFill>
          <bgColor theme="5" tint="0.7999799847602844"/>
        </patternFill>
      </fill>
      <border/>
    </dxf>
    <dxf>
      <font>
        <b/>
        <i val="0"/>
        <color rgb="FFFF0000"/>
      </font>
      <fill>
        <patternFill>
          <bgColor theme="5" tint="0.7999799847602844"/>
        </patternFill>
      </fill>
      <border/>
    </dxf>
    <dxf>
      <font>
        <color theme="0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  <dxf>
      <font>
        <color theme="0" tint="-0.149959996342659"/>
      </font>
      <fill>
        <patternFill patternType="lightUp"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$U$1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checked="Checked" firstButton="1" fmlaLink="$U$6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U$2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firstButton="1" fmlaLink="$U$29" lockText="1" noThreeD="1"/>
</file>

<file path=xl/ctrlProps/ctrlProp23.xml><?xml version="1.0" encoding="utf-8"?>
<formControlPr xmlns="http://schemas.microsoft.com/office/spreadsheetml/2009/9/main" objectType="Radio" firstButton="1" fmlaLink="$U$30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firstButton="1" fmlaLink="$U$16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checked="Checked" fmlaLink="$U$6" lockText="1" noThreeD="1"/>
</file>

<file path=xl/ctrlProps/ctrlProp41.xml><?xml version="1.0" encoding="utf-8"?>
<formControlPr xmlns="http://schemas.microsoft.com/office/spreadsheetml/2009/9/main" objectType="CheckBox" checked="Checked" fmlaLink="$W$6" lockText="1" noThreeD="1"/>
</file>

<file path=xl/ctrlProps/ctrlProp42.xml><?xml version="1.0" encoding="utf-8"?>
<formControlPr xmlns="http://schemas.microsoft.com/office/spreadsheetml/2009/9/main" objectType="CheckBox" checked="Checked" fmlaLink="$Y$6" lockText="1" noThreeD="1"/>
</file>

<file path=xl/ctrlProps/ctrlProp43.xml><?xml version="1.0" encoding="utf-8"?>
<formControlPr xmlns="http://schemas.microsoft.com/office/spreadsheetml/2009/9/main" objectType="CheckBox" fmlaLink="$AA$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U$10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9525</xdr:rowOff>
    </xdr:from>
    <xdr:to>
      <xdr:col>7</xdr:col>
      <xdr:colOff>9525</xdr:colOff>
      <xdr:row>19</xdr:row>
      <xdr:rowOff>0</xdr:rowOff>
    </xdr:to>
    <xdr:cxnSp macro="">
      <xdr:nvCxnSpPr>
        <xdr:cNvPr id="4" name="직선 연결선 3"/>
        <xdr:cNvCxnSpPr/>
      </xdr:nvCxnSpPr>
      <xdr:spPr bwMode="auto">
        <a:xfrm>
          <a:off x="476250" y="4600575"/>
          <a:ext cx="1200150" cy="371475"/>
        </a:xfrm>
        <a:prstGeom prst="line">
          <a:avLst/>
        </a:prstGeom>
        <a:ln w="1270" cmpd="sng">
          <a:headEnd type="none" w="med" len="med"/>
          <a:tailEnd type="none" w="med" len="med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9" Type="http://schemas.openxmlformats.org/officeDocument/2006/relationships/ctrlProp" Target="../ctrlProps/ctrlProp16.xml" /><Relationship Id="rId42" Type="http://schemas.openxmlformats.org/officeDocument/2006/relationships/ctrlProp" Target="../ctrlProps/ctrlProp39.xml" /><Relationship Id="rId22" Type="http://schemas.openxmlformats.org/officeDocument/2006/relationships/ctrlProp" Target="../ctrlProps/ctrlProp19.xml" /><Relationship Id="rId12" Type="http://schemas.openxmlformats.org/officeDocument/2006/relationships/ctrlProp" Target="../ctrlProps/ctrlProp9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37" Type="http://schemas.openxmlformats.org/officeDocument/2006/relationships/ctrlProp" Target="../ctrlProps/ctrlProp34.xml" /><Relationship Id="rId20" Type="http://schemas.openxmlformats.org/officeDocument/2006/relationships/ctrlProp" Target="../ctrlProps/ctrlProp17.xml" /><Relationship Id="rId34" Type="http://schemas.openxmlformats.org/officeDocument/2006/relationships/ctrlProp" Target="../ctrlProps/ctrlProp31.xml" /><Relationship Id="rId40" Type="http://schemas.openxmlformats.org/officeDocument/2006/relationships/ctrlProp" Target="../ctrlProps/ctrlProp37.xml" /><Relationship Id="rId35" Type="http://schemas.openxmlformats.org/officeDocument/2006/relationships/ctrlProp" Target="../ctrlProps/ctrlProp32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38" Type="http://schemas.openxmlformats.org/officeDocument/2006/relationships/ctrlProp" Target="../ctrlProps/ctrlProp35.xml" /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15" Type="http://schemas.openxmlformats.org/officeDocument/2006/relationships/ctrlProp" Target="../ctrlProps/ctrlProp1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17" Type="http://schemas.openxmlformats.org/officeDocument/2006/relationships/ctrlProp" Target="../ctrlProps/ctrlProp14.xml" /><Relationship Id="rId33" Type="http://schemas.openxmlformats.org/officeDocument/2006/relationships/ctrlProp" Target="../ctrlProps/ctrlProp30.xml" /><Relationship Id="rId30" Type="http://schemas.openxmlformats.org/officeDocument/2006/relationships/ctrlProp" Target="../ctrlProps/ctrlProp27.xml" /><Relationship Id="rId28" Type="http://schemas.openxmlformats.org/officeDocument/2006/relationships/ctrlProp" Target="../ctrlProps/ctrlProp25.xml" /><Relationship Id="rId36" Type="http://schemas.openxmlformats.org/officeDocument/2006/relationships/ctrlProp" Target="../ctrlProps/ctrlProp33.xml" /><Relationship Id="rId21" Type="http://schemas.openxmlformats.org/officeDocument/2006/relationships/ctrlProp" Target="../ctrlProps/ctrlProp18.xml" /><Relationship Id="rId8" Type="http://schemas.openxmlformats.org/officeDocument/2006/relationships/ctrlProp" Target="../ctrlProps/ctrlProp5.xml" /><Relationship Id="rId16" Type="http://schemas.openxmlformats.org/officeDocument/2006/relationships/ctrlProp" Target="../ctrlProps/ctrlProp13.xml" /><Relationship Id="rId13" Type="http://schemas.openxmlformats.org/officeDocument/2006/relationships/ctrlProp" Target="../ctrlProps/ctrlProp10.xml" /><Relationship Id="rId39" Type="http://schemas.openxmlformats.org/officeDocument/2006/relationships/ctrlProp" Target="../ctrlProps/ctrlProp36.xml" /><Relationship Id="rId18" Type="http://schemas.openxmlformats.org/officeDocument/2006/relationships/ctrlProp" Target="../ctrlProps/ctrlProp15.xml" /><Relationship Id="rId25" Type="http://schemas.openxmlformats.org/officeDocument/2006/relationships/ctrlProp" Target="../ctrlProps/ctrlProp22.xml" /><Relationship Id="rId24" Type="http://schemas.openxmlformats.org/officeDocument/2006/relationships/ctrlProp" Target="../ctrlProps/ctrlProp21.xml" /><Relationship Id="rId10" Type="http://schemas.openxmlformats.org/officeDocument/2006/relationships/ctrlProp" Target="../ctrlProps/ctrlProp7.xml" /><Relationship Id="rId23" Type="http://schemas.openxmlformats.org/officeDocument/2006/relationships/ctrlProp" Target="../ctrlProps/ctrlProp20.xml" /><Relationship Id="rId31" Type="http://schemas.openxmlformats.org/officeDocument/2006/relationships/ctrlProp" Target="../ctrlProps/ctrlProp28.xml" /><Relationship Id="rId41" Type="http://schemas.openxmlformats.org/officeDocument/2006/relationships/ctrlProp" Target="../ctrlProps/ctrlProp38.xml" /><Relationship Id="rId7" Type="http://schemas.openxmlformats.org/officeDocument/2006/relationships/ctrlProp" Target="../ctrlProps/ctrlProp4.xml" /><Relationship Id="rId29" Type="http://schemas.openxmlformats.org/officeDocument/2006/relationships/ctrlProp" Target="../ctrlProps/ctrlProp26.xml" /><Relationship Id="rId32" Type="http://schemas.openxmlformats.org/officeDocument/2006/relationships/ctrlProp" Target="../ctrlProps/ctrlProp29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42.xml" /><Relationship Id="rId4" Type="http://schemas.openxmlformats.org/officeDocument/2006/relationships/ctrlProp" Target="../ctrlProps/ctrlProp40.xml" /><Relationship Id="rId5" Type="http://schemas.openxmlformats.org/officeDocument/2006/relationships/ctrlProp" Target="../ctrlProps/ctrlProp41.xml" /><Relationship Id="rId7" Type="http://schemas.openxmlformats.org/officeDocument/2006/relationships/ctrlProp" Target="../ctrlProps/ctrlProp43.xml" /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2"/>
  <sheetViews>
    <sheetView showGridLines="0" tabSelected="1" zoomScaleSheetLayoutView="115" workbookViewId="0" topLeftCell="A1">
      <selection activeCell="D11" sqref="D11"/>
    </sheetView>
  </sheetViews>
  <sheetFormatPr defaultColWidth="9.140625" defaultRowHeight="15"/>
  <cols>
    <col min="1" max="1" width="2.421875" style="1" customWidth="1"/>
    <col min="2" max="2" width="84.00390625" style="1" customWidth="1"/>
  </cols>
  <sheetData>
    <row r="1" ht="15">
      <c r="B1" s="7"/>
    </row>
    <row r="2" spans="1:3" ht="26.25">
      <c r="A2" s="668" t="s">
        <v>76</v>
      </c>
      <c r="B2" s="668"/>
      <c r="C2" s="60"/>
    </row>
    <row r="3" ht="15">
      <c r="B3" s="552" t="str">
        <f>Version</f>
        <v>Ver: 2019.09.16.</v>
      </c>
    </row>
    <row r="4" ht="20.25">
      <c r="A4" s="8" t="s">
        <v>306</v>
      </c>
    </row>
    <row r="5" s="19" customFormat="1" ht="17.25">
      <c r="B5" s="219" t="s">
        <v>77</v>
      </c>
    </row>
    <row r="6" s="19" customFormat="1" ht="69">
      <c r="B6" s="218" t="s">
        <v>752</v>
      </c>
    </row>
    <row r="7" ht="17.25">
      <c r="B7" s="20" t="s">
        <v>311</v>
      </c>
    </row>
    <row r="8" ht="17.25">
      <c r="B8" s="20" t="s">
        <v>282</v>
      </c>
    </row>
    <row r="10" ht="20.25">
      <c r="A10" s="8" t="s">
        <v>307</v>
      </c>
    </row>
    <row r="11" spans="1:2" ht="17.25">
      <c r="A11"/>
      <c r="B11" s="9" t="s">
        <v>283</v>
      </c>
    </row>
    <row r="12" spans="1:2" ht="17.25">
      <c r="A12"/>
      <c r="B12" s="9" t="s">
        <v>284</v>
      </c>
    </row>
    <row r="13" spans="1:2" ht="17.25">
      <c r="A13"/>
      <c r="B13" s="9" t="s">
        <v>285</v>
      </c>
    </row>
    <row r="14" spans="1:2" ht="17.25">
      <c r="A14"/>
      <c r="B14" s="9" t="s">
        <v>543</v>
      </c>
    </row>
    <row r="15" spans="1:2" ht="17.25">
      <c r="A15"/>
      <c r="B15" s="10" t="s">
        <v>544</v>
      </c>
    </row>
    <row r="16" spans="1:2" ht="60" customHeight="1">
      <c r="A16"/>
      <c r="B16" s="213" t="s">
        <v>545</v>
      </c>
    </row>
    <row r="17" spans="1:2" ht="15">
      <c r="A17"/>
      <c r="B17" s="11"/>
    </row>
    <row r="18" spans="1:2" ht="20.25">
      <c r="A18" s="12" t="s">
        <v>745</v>
      </c>
      <c r="B18" s="11"/>
    </row>
    <row r="19" spans="1:2" ht="17.25">
      <c r="A19"/>
      <c r="B19" s="10" t="s">
        <v>546</v>
      </c>
    </row>
    <row r="20" spans="1:2" ht="17.25">
      <c r="A20"/>
      <c r="B20" s="329" t="s">
        <v>547</v>
      </c>
    </row>
    <row r="21" spans="1:2" ht="17.25">
      <c r="A21"/>
      <c r="B21" s="10" t="s">
        <v>309</v>
      </c>
    </row>
    <row r="22" spans="1:2" ht="17.25">
      <c r="A22"/>
      <c r="B22" s="10" t="s">
        <v>97</v>
      </c>
    </row>
    <row r="23" spans="1:2" ht="15">
      <c r="A23" s="13"/>
      <c r="B23" s="13"/>
    </row>
    <row r="24" spans="1:2" ht="20.25">
      <c r="A24" s="12" t="s">
        <v>746</v>
      </c>
      <c r="B24" s="11"/>
    </row>
    <row r="25" spans="1:2" ht="17.25">
      <c r="A25"/>
      <c r="B25" s="10" t="s">
        <v>308</v>
      </c>
    </row>
    <row r="26" spans="1:2" ht="17.25">
      <c r="A26"/>
      <c r="B26" s="10" t="s">
        <v>310</v>
      </c>
    </row>
    <row r="27" spans="1:2" ht="15">
      <c r="A27" s="11"/>
      <c r="B27" s="11"/>
    </row>
    <row r="28" spans="1:2" ht="15">
      <c r="A28" s="11"/>
      <c r="B28" s="433"/>
    </row>
    <row r="29" spans="1:2" ht="15">
      <c r="A29" s="11"/>
      <c r="B29" s="11"/>
    </row>
    <row r="30" spans="1:2" ht="15">
      <c r="A30" s="11"/>
      <c r="B30" s="11"/>
    </row>
    <row r="31" spans="1:2" ht="15">
      <c r="A31" s="11"/>
      <c r="B31" s="11"/>
    </row>
    <row r="32" spans="1:2" ht="15">
      <c r="A32" s="11"/>
      <c r="B32" s="11"/>
    </row>
    <row r="33" spans="1:2" ht="15">
      <c r="A33" s="11"/>
      <c r="B33" s="11"/>
    </row>
    <row r="34" spans="1:2" ht="15">
      <c r="A34" s="11"/>
      <c r="B34" s="11"/>
    </row>
    <row r="35" spans="1:2" ht="15">
      <c r="A35" s="11"/>
      <c r="B35" s="11"/>
    </row>
    <row r="36" spans="1:2" ht="15">
      <c r="A36" s="11"/>
      <c r="B36" s="11"/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2" ht="15">
      <c r="A40" s="11"/>
      <c r="B40" s="11"/>
    </row>
    <row r="41" spans="1:2" ht="15">
      <c r="A41" s="11"/>
      <c r="B41" s="11"/>
    </row>
    <row r="42" spans="1:2" ht="15">
      <c r="A42" s="11"/>
      <c r="B42" s="11"/>
    </row>
    <row r="43" spans="1:2" ht="15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  <row r="49" spans="1:2" ht="15">
      <c r="A49" s="11"/>
      <c r="B49" s="11"/>
    </row>
    <row r="50" spans="1:2" ht="15">
      <c r="A50" s="11"/>
      <c r="B50" s="11"/>
    </row>
    <row r="51" spans="1:2" ht="15">
      <c r="A51" s="11"/>
      <c r="B51" s="11"/>
    </row>
    <row r="52" spans="1:2" ht="15">
      <c r="A52" s="11"/>
      <c r="B52" s="11"/>
    </row>
    <row r="53" spans="1:2" ht="15">
      <c r="A53" s="11"/>
      <c r="B53" s="11"/>
    </row>
    <row r="54" spans="1:2" ht="15">
      <c r="A54" s="11"/>
      <c r="B54" s="11"/>
    </row>
    <row r="55" spans="1:2" ht="15">
      <c r="A55" s="11"/>
      <c r="B55" s="11"/>
    </row>
    <row r="56" spans="1:2" ht="15">
      <c r="A56" s="11"/>
      <c r="B56" s="11"/>
    </row>
    <row r="57" spans="1:2" ht="15">
      <c r="A57" s="11"/>
      <c r="B57" s="11"/>
    </row>
    <row r="58" spans="1:2" ht="15">
      <c r="A58" s="11"/>
      <c r="B58" s="11"/>
    </row>
    <row r="59" spans="1:2" ht="15">
      <c r="A59" s="11"/>
      <c r="B59" s="11"/>
    </row>
    <row r="60" spans="1:2" ht="15">
      <c r="A60" s="11"/>
      <c r="B60" s="11"/>
    </row>
    <row r="61" spans="1:2" ht="15">
      <c r="A61" s="11"/>
      <c r="B61" s="11"/>
    </row>
    <row r="62" spans="1:2" ht="15">
      <c r="A62" s="11"/>
      <c r="B62" s="11"/>
    </row>
    <row r="63" spans="1:2" ht="15">
      <c r="A63" s="11"/>
      <c r="B63" s="11"/>
    </row>
    <row r="64" spans="1:2" ht="15">
      <c r="A64" s="11"/>
      <c r="B64" s="11"/>
    </row>
    <row r="65" spans="1:2" ht="15">
      <c r="A65" s="11"/>
      <c r="B65" s="11"/>
    </row>
    <row r="66" spans="1:2" ht="15">
      <c r="A66" s="11"/>
      <c r="B66" s="11"/>
    </row>
    <row r="67" spans="1:2" ht="15">
      <c r="A67" s="11"/>
      <c r="B67" s="11"/>
    </row>
    <row r="68" spans="1:2" ht="15">
      <c r="A68" s="11"/>
      <c r="B68" s="11"/>
    </row>
    <row r="69" spans="1:2" ht="15">
      <c r="A69" s="11"/>
      <c r="B69" s="11"/>
    </row>
    <row r="70" spans="1:2" ht="15">
      <c r="A70" s="11"/>
      <c r="B70" s="11"/>
    </row>
    <row r="71" spans="1:2" ht="15">
      <c r="A71" s="11"/>
      <c r="B71" s="11"/>
    </row>
    <row r="72" spans="1:2" ht="15">
      <c r="A72" s="11"/>
      <c r="B72" s="11"/>
    </row>
    <row r="73" spans="1:2" ht="15">
      <c r="A73" s="11"/>
      <c r="B73" s="11"/>
    </row>
    <row r="74" spans="1:2" ht="15">
      <c r="A74" s="11"/>
      <c r="B74" s="11"/>
    </row>
    <row r="75" spans="1:2" ht="15">
      <c r="A75" s="11"/>
      <c r="B75" s="11"/>
    </row>
    <row r="76" spans="1:2" ht="15">
      <c r="A76" s="11"/>
      <c r="B76" s="11"/>
    </row>
    <row r="77" spans="1:2" ht="15">
      <c r="A77" s="11"/>
      <c r="B77" s="11"/>
    </row>
    <row r="78" spans="1:2" ht="15">
      <c r="A78" s="11"/>
      <c r="B78" s="11"/>
    </row>
    <row r="79" spans="1:2" ht="15">
      <c r="A79" s="11"/>
      <c r="B79" s="11"/>
    </row>
    <row r="80" spans="1:2" ht="15">
      <c r="A80" s="11"/>
      <c r="B80" s="11"/>
    </row>
    <row r="81" spans="1:2" ht="15">
      <c r="A81" s="11"/>
      <c r="B81" s="11"/>
    </row>
    <row r="82" spans="1:2" ht="15">
      <c r="A82" s="11"/>
      <c r="B82" s="11"/>
    </row>
    <row r="83" spans="1:2" ht="15">
      <c r="A83" s="11"/>
      <c r="B83" s="11"/>
    </row>
    <row r="84" spans="1:2" ht="15">
      <c r="A84" s="11"/>
      <c r="B84" s="11"/>
    </row>
    <row r="85" spans="1:2" ht="15">
      <c r="A85" s="11"/>
      <c r="B85" s="11"/>
    </row>
    <row r="86" spans="1:2" ht="15">
      <c r="A86" s="11"/>
      <c r="B86" s="11"/>
    </row>
    <row r="87" spans="1:2" ht="15">
      <c r="A87" s="11"/>
      <c r="B87" s="11"/>
    </row>
    <row r="88" spans="1:2" ht="15">
      <c r="A88" s="11"/>
      <c r="B88" s="11"/>
    </row>
    <row r="89" spans="1:2" ht="15">
      <c r="A89" s="11"/>
      <c r="B89" s="11"/>
    </row>
    <row r="90" spans="1:2" ht="15">
      <c r="A90" s="11"/>
      <c r="B90" s="11"/>
    </row>
    <row r="91" spans="1:2" ht="15">
      <c r="A91" s="11"/>
      <c r="B91" s="11"/>
    </row>
    <row r="92" spans="1:2" ht="15">
      <c r="A92" s="11"/>
      <c r="B92" s="11"/>
    </row>
    <row r="93" spans="1:2" ht="15">
      <c r="A93" s="11"/>
      <c r="B93" s="11"/>
    </row>
    <row r="94" spans="1:2" ht="15">
      <c r="A94" s="11"/>
      <c r="B94" s="11"/>
    </row>
    <row r="95" spans="1:2" ht="15">
      <c r="A95" s="11"/>
      <c r="B95" s="11"/>
    </row>
    <row r="96" spans="1:2" ht="15">
      <c r="A96" s="11"/>
      <c r="B96" s="11"/>
    </row>
    <row r="97" spans="1:2" ht="15">
      <c r="A97" s="11"/>
      <c r="B97" s="11"/>
    </row>
    <row r="98" spans="1:2" ht="15">
      <c r="A98" s="11"/>
      <c r="B98" s="11"/>
    </row>
    <row r="99" spans="1:2" ht="15">
      <c r="A99" s="11"/>
      <c r="B99" s="11"/>
    </row>
    <row r="100" spans="1:2" ht="15">
      <c r="A100" s="11"/>
      <c r="B100" s="11"/>
    </row>
    <row r="101" spans="1:2" ht="15">
      <c r="A101" s="11"/>
      <c r="B101" s="11"/>
    </row>
    <row r="102" spans="1:2" ht="15">
      <c r="A102" s="11"/>
      <c r="B102" s="11"/>
    </row>
    <row r="103" spans="1:2" ht="15">
      <c r="A103" s="11"/>
      <c r="B103" s="11"/>
    </row>
    <row r="104" spans="1:2" ht="15">
      <c r="A104" s="11"/>
      <c r="B104" s="11"/>
    </row>
    <row r="105" spans="1:2" ht="15">
      <c r="A105" s="11"/>
      <c r="B105" s="11"/>
    </row>
    <row r="106" spans="1:2" ht="15">
      <c r="A106" s="11"/>
      <c r="B106" s="11"/>
    </row>
    <row r="107" spans="1:2" ht="15">
      <c r="A107" s="11"/>
      <c r="B107" s="11"/>
    </row>
    <row r="108" spans="1:2" ht="15">
      <c r="A108" s="11"/>
      <c r="B108" s="11"/>
    </row>
    <row r="109" spans="1:2" ht="15">
      <c r="A109" s="11"/>
      <c r="B109" s="11"/>
    </row>
    <row r="110" spans="1:2" ht="15">
      <c r="A110" s="11"/>
      <c r="B110" s="11"/>
    </row>
    <row r="111" spans="1:2" ht="15">
      <c r="A111" s="11"/>
      <c r="B111" s="11"/>
    </row>
    <row r="112" spans="1:2" ht="15">
      <c r="A112" s="11"/>
      <c r="B112" s="11"/>
    </row>
    <row r="113" spans="1:2" ht="15">
      <c r="A113" s="11"/>
      <c r="B113" s="11"/>
    </row>
    <row r="114" spans="1:2" ht="15">
      <c r="A114" s="11"/>
      <c r="B114" s="11"/>
    </row>
    <row r="115" spans="1:2" ht="15">
      <c r="A115" s="11"/>
      <c r="B115" s="11"/>
    </row>
    <row r="116" spans="1:2" ht="15">
      <c r="A116" s="11"/>
      <c r="B116" s="11"/>
    </row>
    <row r="117" spans="1:2" ht="15">
      <c r="A117" s="11"/>
      <c r="B117" s="11"/>
    </row>
    <row r="118" spans="1:2" ht="15">
      <c r="A118" s="11"/>
      <c r="B118" s="11"/>
    </row>
    <row r="119" spans="1:2" ht="15">
      <c r="A119" s="11"/>
      <c r="B119" s="11"/>
    </row>
    <row r="120" spans="1:2" ht="15">
      <c r="A120" s="11"/>
      <c r="B120" s="11"/>
    </row>
    <row r="121" spans="1:2" ht="15">
      <c r="A121" s="11"/>
      <c r="B121" s="11"/>
    </row>
    <row r="122" spans="1:2" ht="15">
      <c r="A122" s="11"/>
      <c r="B122" s="11"/>
    </row>
  </sheetData>
  <sheetProtection algorithmName="SHA-512" hashValue="kUuGXxf6rHnapL/fSArFG1tU1A3yODnr4JW6vz4+xxLEg1PkYrI+mUWxI88bgiiS/ywAuEKfOIZc8rGYkJfdJQ==" saltValue="r+de7PFzUrxmBFvATOAcMw==" spinCount="100000" sheet="1" objects="1" scenarios="1"/>
  <mergeCells count="1">
    <mergeCell ref="A2:B2"/>
  </mergeCells>
  <printOptions horizontalCentered="1"/>
  <pageMargins left="0.3937007874015748" right="0.3937007874015748" top="0.7480314960629921" bottom="0.7480314960629921" header="0.31496062992125984" footer="0.31496062992125984"/>
  <pageSetup fitToWidth="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"/>
  <sheetViews>
    <sheetView showGridLines="0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R19" sqref="R19"/>
    </sheetView>
  </sheetViews>
  <sheetFormatPr defaultColWidth="9.140625" defaultRowHeight="15"/>
  <cols>
    <col min="1" max="1" width="12.28125" style="648" bestFit="1" customWidth="1"/>
    <col min="2" max="2" width="6.00390625" style="648" bestFit="1" customWidth="1"/>
    <col min="3" max="3" width="4.421875" style="648" bestFit="1" customWidth="1"/>
    <col min="4" max="4" width="8.421875" style="648" bestFit="1" customWidth="1"/>
    <col min="5" max="5" width="4.421875" style="648" bestFit="1" customWidth="1"/>
    <col min="6" max="6" width="4.421875" style="648" customWidth="1"/>
    <col min="7" max="10" width="4.421875" style="648" bestFit="1" customWidth="1"/>
    <col min="11" max="11" width="7.8515625" style="648" bestFit="1" customWidth="1"/>
    <col min="12" max="12" width="4.421875" style="648" bestFit="1" customWidth="1"/>
    <col min="13" max="15" width="6.00390625" style="648" bestFit="1" customWidth="1"/>
    <col min="16" max="16" width="4.421875" style="648" bestFit="1" customWidth="1"/>
    <col min="17" max="17" width="6.00390625" style="648" bestFit="1" customWidth="1"/>
    <col min="18" max="20" width="4.421875" style="648" bestFit="1" customWidth="1"/>
    <col min="21" max="28" width="5.421875" style="648" bestFit="1" customWidth="1"/>
    <col min="29" max="34" width="4.421875" style="648" bestFit="1" customWidth="1"/>
    <col min="35" max="35" width="7.8515625" style="648" bestFit="1" customWidth="1"/>
    <col min="36" max="36" width="4.421875" style="648" bestFit="1" customWidth="1"/>
    <col min="37" max="39" width="6.00390625" style="648" bestFit="1" customWidth="1"/>
    <col min="40" max="40" width="4.421875" style="648" bestFit="1" customWidth="1"/>
    <col min="41" max="41" width="6.00390625" style="648" bestFit="1" customWidth="1"/>
    <col min="42" max="44" width="4.421875" style="648" bestFit="1" customWidth="1"/>
    <col min="45" max="52" width="5.421875" style="648" bestFit="1" customWidth="1"/>
    <col min="53" max="58" width="4.421875" style="648" bestFit="1" customWidth="1"/>
    <col min="59" max="59" width="7.8515625" style="648" bestFit="1" customWidth="1"/>
    <col min="60" max="60" width="4.421875" style="648" bestFit="1" customWidth="1"/>
    <col min="61" max="63" width="6.00390625" style="648" bestFit="1" customWidth="1"/>
    <col min="64" max="64" width="4.421875" style="648" bestFit="1" customWidth="1"/>
    <col min="65" max="65" width="6.00390625" style="648" bestFit="1" customWidth="1"/>
    <col min="66" max="68" width="4.421875" style="648" bestFit="1" customWidth="1"/>
    <col min="69" max="76" width="5.421875" style="648" bestFit="1" customWidth="1"/>
    <col min="77" max="80" width="7.00390625" style="648" bestFit="1" customWidth="1"/>
    <col min="81" max="81" width="8.421875" style="648" bestFit="1" customWidth="1"/>
    <col min="82" max="87" width="3.8515625" style="648" bestFit="1" customWidth="1"/>
    <col min="88" max="16384" width="9.00390625" style="648" customWidth="1"/>
  </cols>
  <sheetData>
    <row r="1" spans="1:87" ht="15">
      <c r="A1" s="1463" t="s">
        <v>3</v>
      </c>
      <c r="B1" s="1465" t="s">
        <v>571</v>
      </c>
      <c r="C1" s="1463" t="s">
        <v>842</v>
      </c>
      <c r="D1" s="1463" t="s">
        <v>843</v>
      </c>
      <c r="E1" s="1460" t="s">
        <v>844</v>
      </c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2"/>
      <c r="AC1" s="1467" t="s">
        <v>845</v>
      </c>
      <c r="AD1" s="1468"/>
      <c r="AE1" s="1468"/>
      <c r="AF1" s="1468"/>
      <c r="AG1" s="1468"/>
      <c r="AH1" s="1468"/>
      <c r="AI1" s="1468"/>
      <c r="AJ1" s="1468"/>
      <c r="AK1" s="1468"/>
      <c r="AL1" s="1468"/>
      <c r="AM1" s="1468"/>
      <c r="AN1" s="1468"/>
      <c r="AO1" s="1468"/>
      <c r="AP1" s="1468"/>
      <c r="AQ1" s="1468"/>
      <c r="AR1" s="1468"/>
      <c r="AS1" s="1468"/>
      <c r="AT1" s="1468"/>
      <c r="AU1" s="1468"/>
      <c r="AV1" s="1468"/>
      <c r="AW1" s="1468"/>
      <c r="AX1" s="1468"/>
      <c r="AY1" s="1468"/>
      <c r="AZ1" s="1469"/>
      <c r="BA1" s="1460" t="s">
        <v>846</v>
      </c>
      <c r="BB1" s="1461"/>
      <c r="BC1" s="1461"/>
      <c r="BD1" s="1461"/>
      <c r="BE1" s="1461"/>
      <c r="BF1" s="1461"/>
      <c r="BG1" s="1461"/>
      <c r="BH1" s="1461"/>
      <c r="BI1" s="1461"/>
      <c r="BJ1" s="1461"/>
      <c r="BK1" s="1461"/>
      <c r="BL1" s="1461"/>
      <c r="BM1" s="1461"/>
      <c r="BN1" s="1461"/>
      <c r="BO1" s="1461"/>
      <c r="BP1" s="1461"/>
      <c r="BQ1" s="1461"/>
      <c r="BR1" s="1461"/>
      <c r="BS1" s="1461"/>
      <c r="BT1" s="1461"/>
      <c r="BU1" s="1461"/>
      <c r="BV1" s="1461"/>
      <c r="BW1" s="1461"/>
      <c r="BX1" s="1462"/>
      <c r="BY1" s="1460" t="s">
        <v>847</v>
      </c>
      <c r="BZ1" s="1461"/>
      <c r="CA1" s="1461"/>
      <c r="CB1" s="1462"/>
      <c r="CC1" s="1463" t="s">
        <v>848</v>
      </c>
      <c r="CD1" s="1460" t="s">
        <v>849</v>
      </c>
      <c r="CE1" s="1461"/>
      <c r="CF1" s="1461"/>
      <c r="CG1" s="1461"/>
      <c r="CH1" s="1461"/>
      <c r="CI1" s="1462"/>
    </row>
    <row r="2" spans="1:87" ht="15">
      <c r="A2" s="1464"/>
      <c r="B2" s="1466"/>
      <c r="C2" s="1464"/>
      <c r="D2" s="1464"/>
      <c r="E2" s="649" t="s">
        <v>11</v>
      </c>
      <c r="F2" s="649" t="s">
        <v>12</v>
      </c>
      <c r="G2" s="649" t="s">
        <v>13</v>
      </c>
      <c r="H2" s="649" t="s">
        <v>850</v>
      </c>
      <c r="I2" s="649" t="s">
        <v>851</v>
      </c>
      <c r="J2" s="649" t="s">
        <v>14</v>
      </c>
      <c r="K2" s="649" t="s">
        <v>852</v>
      </c>
      <c r="L2" s="649" t="s">
        <v>853</v>
      </c>
      <c r="M2" s="649" t="s">
        <v>854</v>
      </c>
      <c r="N2" s="649" t="s">
        <v>855</v>
      </c>
      <c r="O2" s="649" t="s">
        <v>856</v>
      </c>
      <c r="P2" s="649" t="s">
        <v>857</v>
      </c>
      <c r="Q2" s="649" t="s">
        <v>858</v>
      </c>
      <c r="R2" s="649" t="s">
        <v>859</v>
      </c>
      <c r="S2" s="649" t="s">
        <v>558</v>
      </c>
      <c r="T2" s="649" t="s">
        <v>560</v>
      </c>
      <c r="U2" s="649" t="s">
        <v>860</v>
      </c>
      <c r="V2" s="649" t="s">
        <v>861</v>
      </c>
      <c r="W2" s="649" t="s">
        <v>862</v>
      </c>
      <c r="X2" s="649" t="s">
        <v>863</v>
      </c>
      <c r="Y2" s="649" t="s">
        <v>864</v>
      </c>
      <c r="Z2" s="649" t="s">
        <v>865</v>
      </c>
      <c r="AA2" s="649" t="s">
        <v>866</v>
      </c>
      <c r="AB2" s="649" t="s">
        <v>867</v>
      </c>
      <c r="AC2" s="652" t="s">
        <v>11</v>
      </c>
      <c r="AD2" s="652" t="s">
        <v>12</v>
      </c>
      <c r="AE2" s="652" t="s">
        <v>13</v>
      </c>
      <c r="AF2" s="652" t="s">
        <v>850</v>
      </c>
      <c r="AG2" s="652" t="s">
        <v>851</v>
      </c>
      <c r="AH2" s="652" t="s">
        <v>14</v>
      </c>
      <c r="AI2" s="652" t="s">
        <v>852</v>
      </c>
      <c r="AJ2" s="652" t="s">
        <v>853</v>
      </c>
      <c r="AK2" s="652" t="s">
        <v>854</v>
      </c>
      <c r="AL2" s="652" t="s">
        <v>855</v>
      </c>
      <c r="AM2" s="652" t="s">
        <v>856</v>
      </c>
      <c r="AN2" s="652" t="s">
        <v>857</v>
      </c>
      <c r="AO2" s="652" t="s">
        <v>858</v>
      </c>
      <c r="AP2" s="652" t="s">
        <v>859</v>
      </c>
      <c r="AQ2" s="652" t="s">
        <v>558</v>
      </c>
      <c r="AR2" s="652" t="s">
        <v>560</v>
      </c>
      <c r="AS2" s="652" t="s">
        <v>860</v>
      </c>
      <c r="AT2" s="652" t="s">
        <v>861</v>
      </c>
      <c r="AU2" s="652" t="s">
        <v>862</v>
      </c>
      <c r="AV2" s="652" t="s">
        <v>863</v>
      </c>
      <c r="AW2" s="652" t="s">
        <v>864</v>
      </c>
      <c r="AX2" s="652" t="s">
        <v>865</v>
      </c>
      <c r="AY2" s="652" t="s">
        <v>866</v>
      </c>
      <c r="AZ2" s="652" t="s">
        <v>867</v>
      </c>
      <c r="BA2" s="649" t="s">
        <v>11</v>
      </c>
      <c r="BB2" s="649" t="s">
        <v>12</v>
      </c>
      <c r="BC2" s="649" t="s">
        <v>13</v>
      </c>
      <c r="BD2" s="649" t="s">
        <v>850</v>
      </c>
      <c r="BE2" s="649" t="s">
        <v>851</v>
      </c>
      <c r="BF2" s="649" t="s">
        <v>14</v>
      </c>
      <c r="BG2" s="649" t="s">
        <v>852</v>
      </c>
      <c r="BH2" s="649" t="s">
        <v>853</v>
      </c>
      <c r="BI2" s="649" t="s">
        <v>854</v>
      </c>
      <c r="BJ2" s="649" t="s">
        <v>855</v>
      </c>
      <c r="BK2" s="649" t="s">
        <v>856</v>
      </c>
      <c r="BL2" s="649" t="s">
        <v>857</v>
      </c>
      <c r="BM2" s="649" t="s">
        <v>858</v>
      </c>
      <c r="BN2" s="649" t="s">
        <v>859</v>
      </c>
      <c r="BO2" s="649" t="s">
        <v>558</v>
      </c>
      <c r="BP2" s="649" t="s">
        <v>560</v>
      </c>
      <c r="BQ2" s="649" t="s">
        <v>860</v>
      </c>
      <c r="BR2" s="649" t="s">
        <v>861</v>
      </c>
      <c r="BS2" s="649" t="s">
        <v>862</v>
      </c>
      <c r="BT2" s="649" t="s">
        <v>863</v>
      </c>
      <c r="BU2" s="649" t="s">
        <v>864</v>
      </c>
      <c r="BV2" s="649" t="s">
        <v>865</v>
      </c>
      <c r="BW2" s="649" t="s">
        <v>866</v>
      </c>
      <c r="BX2" s="649" t="s">
        <v>867</v>
      </c>
      <c r="BY2" s="649" t="s">
        <v>868</v>
      </c>
      <c r="BZ2" s="649" t="s">
        <v>869</v>
      </c>
      <c r="CA2" s="649" t="s">
        <v>870</v>
      </c>
      <c r="CB2" s="649" t="s">
        <v>871</v>
      </c>
      <c r="CC2" s="1464"/>
      <c r="CD2" s="649" t="s">
        <v>872</v>
      </c>
      <c r="CE2" s="649" t="s">
        <v>873</v>
      </c>
      <c r="CF2" s="649" t="s">
        <v>874</v>
      </c>
      <c r="CG2" s="649" t="s">
        <v>875</v>
      </c>
      <c r="CH2" s="649" t="s">
        <v>876</v>
      </c>
      <c r="CI2" s="649" t="s">
        <v>877</v>
      </c>
    </row>
    <row r="3" spans="1:87" s="651" customFormat="1" ht="15">
      <c r="A3" s="650" t="str">
        <f>출신학교명&amp;"학교"</f>
        <v>학교</v>
      </c>
      <c r="B3" s="650">
        <f>학생성명</f>
        <v>0</v>
      </c>
      <c r="C3" s="650" t="str">
        <f>학생성별</f>
        <v>남</v>
      </c>
      <c r="D3" s="650" t="str">
        <f>TEXT(YEAR(학생생년월일),"0000")&amp;TEXT(MONTH(학생생년월일),"00")&amp;TEXT(DAY(학생생년월일),"00")</f>
        <v>19000100</v>
      </c>
      <c r="E3" s="650" t="str">
        <f aca="true" t="shared" si="0" ref="E3:Z3">IF(OR(성적유무_21=FALSE,INDIRECT(E4)=0),"",UPPER(INDIRECT(E4)))</f>
        <v/>
      </c>
      <c r="F3" s="650" t="str">
        <f ca="1" t="shared" si="0"/>
        <v/>
      </c>
      <c r="G3" s="650" t="str">
        <f ca="1" t="shared" si="0"/>
        <v/>
      </c>
      <c r="H3" s="650" t="str">
        <f ca="1" t="shared" si="0"/>
        <v/>
      </c>
      <c r="I3" s="650" t="str">
        <f ca="1" t="shared" si="0"/>
        <v/>
      </c>
      <c r="J3" s="650" t="str">
        <f ca="1" t="shared" si="0"/>
        <v/>
      </c>
      <c r="K3" s="650" t="str">
        <f ca="1" t="shared" si="0"/>
        <v/>
      </c>
      <c r="L3" s="650" t="str">
        <f ca="1" t="shared" si="0"/>
        <v/>
      </c>
      <c r="M3" s="650" t="str">
        <f ca="1" t="shared" si="0"/>
        <v/>
      </c>
      <c r="N3" s="650" t="str">
        <f ca="1" t="shared" si="0"/>
        <v/>
      </c>
      <c r="O3" s="650" t="str">
        <f ca="1" t="shared" si="0"/>
        <v/>
      </c>
      <c r="P3" s="650" t="str">
        <f ca="1" t="shared" si="0"/>
        <v/>
      </c>
      <c r="Q3" s="650" t="str">
        <f ca="1" t="shared" si="0"/>
        <v/>
      </c>
      <c r="R3" s="650" t="str">
        <f ca="1" t="shared" si="0"/>
        <v/>
      </c>
      <c r="S3" s="650" t="str">
        <f ca="1" t="shared" si="0"/>
        <v/>
      </c>
      <c r="T3" s="650" t="str">
        <f ca="1" t="shared" si="0"/>
        <v/>
      </c>
      <c r="U3" s="650" t="str">
        <f ca="1" t="shared" si="0"/>
        <v/>
      </c>
      <c r="V3" s="650" t="str">
        <f ca="1" t="shared" si="0"/>
        <v/>
      </c>
      <c r="W3" s="650" t="str">
        <f ca="1" t="shared" si="0"/>
        <v/>
      </c>
      <c r="X3" s="650" t="str">
        <f ca="1" t="shared" si="0"/>
        <v/>
      </c>
      <c r="Y3" s="650" t="str">
        <f ca="1" t="shared" si="0"/>
        <v/>
      </c>
      <c r="Z3" s="650" t="str">
        <f ca="1" t="shared" si="0"/>
        <v/>
      </c>
      <c r="AA3" s="650"/>
      <c r="AB3" s="650"/>
      <c r="AC3" s="653" t="str">
        <f aca="true" t="shared" si="1" ref="AC3:AX3">IF(OR(성적유무_22=FALSE,INDIRECT(AC4)=0),"",UPPER(INDIRECT(AC4)))</f>
        <v/>
      </c>
      <c r="AD3" s="653" t="str">
        <f ca="1" t="shared" si="1"/>
        <v/>
      </c>
      <c r="AE3" s="653" t="str">
        <f ca="1" t="shared" si="1"/>
        <v/>
      </c>
      <c r="AF3" s="653" t="str">
        <f ca="1" t="shared" si="1"/>
        <v/>
      </c>
      <c r="AG3" s="653" t="str">
        <f ca="1" t="shared" si="1"/>
        <v/>
      </c>
      <c r="AH3" s="653" t="str">
        <f ca="1" t="shared" si="1"/>
        <v/>
      </c>
      <c r="AI3" s="653" t="str">
        <f ca="1" t="shared" si="1"/>
        <v/>
      </c>
      <c r="AJ3" s="653" t="str">
        <f ca="1" t="shared" si="1"/>
        <v/>
      </c>
      <c r="AK3" s="653" t="str">
        <f ca="1" t="shared" si="1"/>
        <v/>
      </c>
      <c r="AL3" s="653" t="str">
        <f ca="1" t="shared" si="1"/>
        <v/>
      </c>
      <c r="AM3" s="653" t="str">
        <f ca="1" t="shared" si="1"/>
        <v/>
      </c>
      <c r="AN3" s="653" t="str">
        <f ca="1" t="shared" si="1"/>
        <v/>
      </c>
      <c r="AO3" s="653" t="str">
        <f ca="1" t="shared" si="1"/>
        <v/>
      </c>
      <c r="AP3" s="653" t="str">
        <f ca="1" t="shared" si="1"/>
        <v/>
      </c>
      <c r="AQ3" s="653" t="str">
        <f ca="1" t="shared" si="1"/>
        <v/>
      </c>
      <c r="AR3" s="653" t="str">
        <f ca="1" t="shared" si="1"/>
        <v/>
      </c>
      <c r="AS3" s="653" t="str">
        <f ca="1" t="shared" si="1"/>
        <v/>
      </c>
      <c r="AT3" s="653" t="str">
        <f ca="1" t="shared" si="1"/>
        <v/>
      </c>
      <c r="AU3" s="653" t="str">
        <f ca="1" t="shared" si="1"/>
        <v/>
      </c>
      <c r="AV3" s="653" t="str">
        <f ca="1" t="shared" si="1"/>
        <v/>
      </c>
      <c r="AW3" s="653" t="str">
        <f ca="1" t="shared" si="1"/>
        <v/>
      </c>
      <c r="AX3" s="653" t="str">
        <f ca="1" t="shared" si="1"/>
        <v/>
      </c>
      <c r="AY3" s="653"/>
      <c r="AZ3" s="653"/>
      <c r="BA3" s="650" t="str">
        <f aca="true" t="shared" si="2" ref="BA3:BV3">IF(OR(성적유무_31=FALSE,INDIRECT(BA4)=0),"",UPPER(INDIRECT(BA4)))</f>
        <v/>
      </c>
      <c r="BB3" s="650" t="str">
        <f ca="1" t="shared" si="2"/>
        <v/>
      </c>
      <c r="BC3" s="650" t="str">
        <f ca="1" t="shared" si="2"/>
        <v/>
      </c>
      <c r="BD3" s="650" t="str">
        <f ca="1" t="shared" si="2"/>
        <v/>
      </c>
      <c r="BE3" s="650" t="str">
        <f ca="1" t="shared" si="2"/>
        <v/>
      </c>
      <c r="BF3" s="650" t="str">
        <f ca="1" t="shared" si="2"/>
        <v/>
      </c>
      <c r="BG3" s="650" t="str">
        <f ca="1" t="shared" si="2"/>
        <v/>
      </c>
      <c r="BH3" s="650" t="str">
        <f ca="1" t="shared" si="2"/>
        <v/>
      </c>
      <c r="BI3" s="650" t="str">
        <f ca="1" t="shared" si="2"/>
        <v/>
      </c>
      <c r="BJ3" s="650" t="str">
        <f ca="1" t="shared" si="2"/>
        <v/>
      </c>
      <c r="BK3" s="650" t="str">
        <f ca="1" t="shared" si="2"/>
        <v/>
      </c>
      <c r="BL3" s="650" t="str">
        <f ca="1" t="shared" si="2"/>
        <v/>
      </c>
      <c r="BM3" s="650" t="str">
        <f ca="1" t="shared" si="2"/>
        <v/>
      </c>
      <c r="BN3" s="650" t="str">
        <f ca="1" t="shared" si="2"/>
        <v/>
      </c>
      <c r="BO3" s="650" t="str">
        <f ca="1" t="shared" si="2"/>
        <v/>
      </c>
      <c r="BP3" s="650" t="str">
        <f ca="1" t="shared" si="2"/>
        <v/>
      </c>
      <c r="BQ3" s="650" t="str">
        <f ca="1" t="shared" si="2"/>
        <v/>
      </c>
      <c r="BR3" s="650" t="str">
        <f ca="1" t="shared" si="2"/>
        <v/>
      </c>
      <c r="BS3" s="650" t="str">
        <f ca="1" t="shared" si="2"/>
        <v/>
      </c>
      <c r="BT3" s="650" t="str">
        <f ca="1" t="shared" si="2"/>
        <v/>
      </c>
      <c r="BU3" s="650" t="str">
        <f ca="1" t="shared" si="2"/>
        <v/>
      </c>
      <c r="BV3" s="650" t="str">
        <f ca="1" t="shared" si="2"/>
        <v/>
      </c>
      <c r="BW3" s="650"/>
      <c r="BX3" s="650"/>
      <c r="BY3" s="650" t="str">
        <f>TEXT(미인정_결석,"##0")</f>
        <v>0</v>
      </c>
      <c r="BZ3" s="650" t="str">
        <f>TEXT(미인정_지각,"##0")</f>
        <v>0</v>
      </c>
      <c r="CA3" s="650" t="str">
        <f>TEXT(미인정_조퇴,"##0")</f>
        <v>0</v>
      </c>
      <c r="CB3" s="650" t="str">
        <f>TEXT(미인정_결과,"##0")</f>
        <v>0</v>
      </c>
      <c r="CC3" s="650" t="str">
        <f>TEXT(봉사활동입력_합계,"##0")</f>
        <v>0</v>
      </c>
      <c r="CD3" s="650"/>
      <c r="CE3" s="650"/>
      <c r="CF3" s="650"/>
      <c r="CG3" s="650"/>
      <c r="CH3" s="650"/>
      <c r="CI3" s="650"/>
    </row>
    <row r="4" spans="1:87" s="656" customFormat="1" ht="15" hidden="1">
      <c r="A4" s="654" t="s">
        <v>897</v>
      </c>
      <c r="B4" s="654"/>
      <c r="C4" s="654"/>
      <c r="D4" s="654"/>
      <c r="E4" s="655" t="s">
        <v>898</v>
      </c>
      <c r="F4" s="655" t="s">
        <v>899</v>
      </c>
      <c r="G4" s="655" t="s">
        <v>900</v>
      </c>
      <c r="H4" s="655" t="s">
        <v>901</v>
      </c>
      <c r="I4" s="655" t="s">
        <v>902</v>
      </c>
      <c r="J4" s="655" t="s">
        <v>903</v>
      </c>
      <c r="K4" s="655" t="s">
        <v>904</v>
      </c>
      <c r="L4" s="655" t="s">
        <v>905</v>
      </c>
      <c r="M4" s="655" t="s">
        <v>906</v>
      </c>
      <c r="N4" s="655" t="s">
        <v>907</v>
      </c>
      <c r="O4" s="655" t="s">
        <v>908</v>
      </c>
      <c r="P4" s="655" t="s">
        <v>909</v>
      </c>
      <c r="Q4" s="655" t="s">
        <v>910</v>
      </c>
      <c r="R4" s="655" t="s">
        <v>911</v>
      </c>
      <c r="S4" s="655" t="s">
        <v>912</v>
      </c>
      <c r="T4" s="655" t="s">
        <v>913</v>
      </c>
      <c r="U4" s="655" t="s">
        <v>914</v>
      </c>
      <c r="V4" s="655" t="s">
        <v>915</v>
      </c>
      <c r="W4" s="655" t="s">
        <v>916</v>
      </c>
      <c r="X4" s="655" t="s">
        <v>917</v>
      </c>
      <c r="Y4" s="655" t="s">
        <v>918</v>
      </c>
      <c r="Z4" s="655" t="s">
        <v>919</v>
      </c>
      <c r="AA4" s="654"/>
      <c r="AB4" s="654"/>
      <c r="AC4" s="654" t="s">
        <v>920</v>
      </c>
      <c r="AD4" s="654" t="s">
        <v>921</v>
      </c>
      <c r="AE4" s="654" t="s">
        <v>922</v>
      </c>
      <c r="AF4" s="654" t="s">
        <v>923</v>
      </c>
      <c r="AG4" s="654" t="s">
        <v>924</v>
      </c>
      <c r="AH4" s="654" t="s">
        <v>925</v>
      </c>
      <c r="AI4" s="654" t="s">
        <v>926</v>
      </c>
      <c r="AJ4" s="654" t="s">
        <v>927</v>
      </c>
      <c r="AK4" s="654" t="s">
        <v>928</v>
      </c>
      <c r="AL4" s="654" t="s">
        <v>929</v>
      </c>
      <c r="AM4" s="654" t="s">
        <v>930</v>
      </c>
      <c r="AN4" s="654" t="s">
        <v>931</v>
      </c>
      <c r="AO4" s="654" t="s">
        <v>932</v>
      </c>
      <c r="AP4" s="654" t="s">
        <v>933</v>
      </c>
      <c r="AQ4" s="654" t="s">
        <v>934</v>
      </c>
      <c r="AR4" s="654" t="s">
        <v>935</v>
      </c>
      <c r="AS4" s="654" t="s">
        <v>936</v>
      </c>
      <c r="AT4" s="654" t="s">
        <v>937</v>
      </c>
      <c r="AU4" s="654" t="s">
        <v>938</v>
      </c>
      <c r="AV4" s="654" t="s">
        <v>939</v>
      </c>
      <c r="AW4" s="654" t="s">
        <v>940</v>
      </c>
      <c r="AX4" s="654" t="s">
        <v>941</v>
      </c>
      <c r="AY4" s="654"/>
      <c r="AZ4" s="654"/>
      <c r="BA4" s="654" t="s">
        <v>942</v>
      </c>
      <c r="BB4" s="654" t="s">
        <v>943</v>
      </c>
      <c r="BC4" s="654" t="s">
        <v>944</v>
      </c>
      <c r="BD4" s="654" t="s">
        <v>945</v>
      </c>
      <c r="BE4" s="654" t="s">
        <v>946</v>
      </c>
      <c r="BF4" s="654" t="s">
        <v>947</v>
      </c>
      <c r="BG4" s="654" t="s">
        <v>948</v>
      </c>
      <c r="BH4" s="654" t="s">
        <v>949</v>
      </c>
      <c r="BI4" s="654" t="s">
        <v>950</v>
      </c>
      <c r="BJ4" s="654" t="s">
        <v>951</v>
      </c>
      <c r="BK4" s="654" t="s">
        <v>952</v>
      </c>
      <c r="BL4" s="654" t="s">
        <v>953</v>
      </c>
      <c r="BM4" s="654" t="s">
        <v>954</v>
      </c>
      <c r="BN4" s="654" t="s">
        <v>955</v>
      </c>
      <c r="BO4" s="654" t="s">
        <v>956</v>
      </c>
      <c r="BP4" s="654" t="s">
        <v>957</v>
      </c>
      <c r="BQ4" s="654" t="s">
        <v>958</v>
      </c>
      <c r="BR4" s="654" t="s">
        <v>959</v>
      </c>
      <c r="BS4" s="654" t="s">
        <v>960</v>
      </c>
      <c r="BT4" s="654" t="s">
        <v>961</v>
      </c>
      <c r="BU4" s="654" t="s">
        <v>962</v>
      </c>
      <c r="BV4" s="654" t="s">
        <v>963</v>
      </c>
      <c r="BW4" s="654"/>
      <c r="BX4" s="654"/>
      <c r="BY4" s="654"/>
      <c r="BZ4" s="654"/>
      <c r="CA4" s="654"/>
      <c r="CB4" s="654"/>
      <c r="CC4" s="654"/>
      <c r="CD4" s="654"/>
      <c r="CE4" s="654"/>
      <c r="CF4" s="654"/>
      <c r="CG4" s="654"/>
      <c r="CH4" s="654"/>
      <c r="CI4" s="654"/>
    </row>
    <row r="5" spans="1:87" s="659" customFormat="1" ht="15">
      <c r="A5" s="664" t="s">
        <v>964</v>
      </c>
      <c r="B5" s="665"/>
      <c r="C5" s="665"/>
      <c r="D5" s="657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657"/>
      <c r="BC5" s="657"/>
      <c r="BD5" s="657"/>
      <c r="BE5" s="657"/>
      <c r="BF5" s="657"/>
      <c r="BG5" s="657"/>
      <c r="BH5" s="657"/>
      <c r="BI5" s="657"/>
      <c r="BJ5" s="657"/>
      <c r="BK5" s="657"/>
      <c r="BL5" s="657"/>
      <c r="BM5" s="657"/>
      <c r="BN5" s="657"/>
      <c r="BO5" s="657"/>
      <c r="BP5" s="657"/>
      <c r="BQ5" s="657"/>
      <c r="BR5" s="657"/>
      <c r="BS5" s="657"/>
      <c r="BT5" s="657"/>
      <c r="BU5" s="657"/>
      <c r="BV5" s="657"/>
      <c r="BW5" s="657"/>
      <c r="BX5" s="657"/>
      <c r="BY5" s="657"/>
      <c r="BZ5" s="657"/>
      <c r="CA5" s="657"/>
      <c r="CB5" s="657"/>
      <c r="CC5" s="657"/>
      <c r="CD5" s="657"/>
      <c r="CE5" s="657"/>
      <c r="CF5" s="657"/>
      <c r="CG5" s="657"/>
      <c r="CH5" s="657"/>
      <c r="CI5" s="657"/>
    </row>
    <row r="6" spans="1:87" s="667" customFormat="1" ht="15">
      <c r="A6" s="662"/>
      <c r="B6" s="663"/>
      <c r="C6" s="663"/>
      <c r="D6" s="663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T6" s="666"/>
      <c r="U6" s="666"/>
      <c r="V6" s="666"/>
      <c r="W6" s="666"/>
      <c r="X6" s="666"/>
      <c r="Y6" s="666"/>
      <c r="Z6" s="666"/>
      <c r="AA6" s="663"/>
      <c r="AB6" s="663"/>
      <c r="AC6" s="663"/>
      <c r="AD6" s="663"/>
      <c r="AE6" s="663"/>
      <c r="AF6" s="663"/>
      <c r="AG6" s="663"/>
      <c r="AH6" s="663"/>
      <c r="AI6" s="663"/>
      <c r="AJ6" s="663"/>
      <c r="AK6" s="663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663"/>
      <c r="BA6" s="663"/>
      <c r="BB6" s="663"/>
      <c r="BC6" s="663"/>
      <c r="BD6" s="663"/>
      <c r="BE6" s="663"/>
      <c r="BF6" s="663"/>
      <c r="BG6" s="663"/>
      <c r="BH6" s="663"/>
      <c r="BI6" s="663"/>
      <c r="BJ6" s="663"/>
      <c r="BK6" s="663"/>
      <c r="BL6" s="663"/>
      <c r="BM6" s="663"/>
      <c r="BN6" s="663"/>
      <c r="BO6" s="663"/>
      <c r="BP6" s="663"/>
      <c r="BQ6" s="663"/>
      <c r="BR6" s="663"/>
      <c r="BS6" s="663"/>
      <c r="BT6" s="663"/>
      <c r="BU6" s="663"/>
      <c r="BV6" s="663"/>
      <c r="BW6" s="663"/>
      <c r="BX6" s="663"/>
      <c r="BY6" s="663"/>
      <c r="BZ6" s="663"/>
      <c r="CA6" s="663"/>
      <c r="CB6" s="663"/>
      <c r="CC6" s="663"/>
      <c r="CD6" s="663"/>
      <c r="CE6" s="663"/>
      <c r="CF6" s="663"/>
      <c r="CG6" s="663"/>
      <c r="CH6" s="663"/>
      <c r="CI6" s="663"/>
    </row>
    <row r="7" spans="1:87" s="661" customFormat="1" ht="15">
      <c r="A7" s="660" t="s">
        <v>896</v>
      </c>
      <c r="B7" s="660" t="s">
        <v>886</v>
      </c>
      <c r="C7" s="660" t="s">
        <v>878</v>
      </c>
      <c r="D7" s="660" t="s">
        <v>887</v>
      </c>
      <c r="E7" s="660" t="s">
        <v>880</v>
      </c>
      <c r="F7" s="660" t="s">
        <v>879</v>
      </c>
      <c r="G7" s="660" t="s">
        <v>881</v>
      </c>
      <c r="H7" s="660" t="s">
        <v>879</v>
      </c>
      <c r="I7" s="660" t="s">
        <v>882</v>
      </c>
      <c r="J7" s="660" t="s">
        <v>879</v>
      </c>
      <c r="K7" s="660" t="s">
        <v>880</v>
      </c>
      <c r="L7" s="660" t="s">
        <v>882</v>
      </c>
      <c r="M7" s="660" t="s">
        <v>881</v>
      </c>
      <c r="N7" s="660" t="s">
        <v>881</v>
      </c>
      <c r="O7" s="660" t="s">
        <v>881</v>
      </c>
      <c r="P7" s="660" t="s">
        <v>880</v>
      </c>
      <c r="Q7" s="660" t="s">
        <v>881</v>
      </c>
      <c r="R7" s="660" t="s">
        <v>882</v>
      </c>
      <c r="S7" s="660" t="s">
        <v>880</v>
      </c>
      <c r="T7" s="660" t="s">
        <v>882</v>
      </c>
      <c r="U7" s="660" t="s">
        <v>881</v>
      </c>
      <c r="V7" s="660" t="s">
        <v>881</v>
      </c>
      <c r="W7" s="660" t="s">
        <v>881</v>
      </c>
      <c r="X7" s="660" t="s">
        <v>881</v>
      </c>
      <c r="Y7" s="660" t="s">
        <v>881</v>
      </c>
      <c r="Z7" s="660" t="s">
        <v>881</v>
      </c>
      <c r="AA7" s="660" t="s">
        <v>881</v>
      </c>
      <c r="AB7" s="660" t="s">
        <v>881</v>
      </c>
      <c r="AC7" s="660" t="s">
        <v>880</v>
      </c>
      <c r="AD7" s="660" t="s">
        <v>879</v>
      </c>
      <c r="AE7" s="660" t="s">
        <v>881</v>
      </c>
      <c r="AF7" s="660" t="s">
        <v>880</v>
      </c>
      <c r="AG7" s="660" t="s">
        <v>882</v>
      </c>
      <c r="AH7" s="660" t="s">
        <v>880</v>
      </c>
      <c r="AI7" s="660" t="s">
        <v>882</v>
      </c>
      <c r="AJ7" s="660" t="s">
        <v>882</v>
      </c>
      <c r="AK7" s="660" t="s">
        <v>881</v>
      </c>
      <c r="AL7" s="660" t="s">
        <v>881</v>
      </c>
      <c r="AM7" s="660" t="s">
        <v>881</v>
      </c>
      <c r="AN7" s="660" t="s">
        <v>884</v>
      </c>
      <c r="AO7" s="660" t="s">
        <v>881</v>
      </c>
      <c r="AP7" s="660" t="s">
        <v>882</v>
      </c>
      <c r="AQ7" s="660" t="s">
        <v>880</v>
      </c>
      <c r="AR7" s="660" t="s">
        <v>880</v>
      </c>
      <c r="AS7" s="660" t="s">
        <v>881</v>
      </c>
      <c r="AT7" s="660" t="s">
        <v>881</v>
      </c>
      <c r="AU7" s="660" t="s">
        <v>881</v>
      </c>
      <c r="AV7" s="660" t="s">
        <v>881</v>
      </c>
      <c r="AW7" s="660" t="s">
        <v>881</v>
      </c>
      <c r="AX7" s="660" t="s">
        <v>881</v>
      </c>
      <c r="AY7" s="660" t="s">
        <v>881</v>
      </c>
      <c r="AZ7" s="660" t="s">
        <v>881</v>
      </c>
      <c r="BA7" s="660" t="s">
        <v>883</v>
      </c>
      <c r="BB7" s="660" t="s">
        <v>881</v>
      </c>
      <c r="BC7" s="660" t="s">
        <v>882</v>
      </c>
      <c r="BD7" s="660" t="s">
        <v>880</v>
      </c>
      <c r="BE7" s="660" t="s">
        <v>880</v>
      </c>
      <c r="BF7" s="660" t="s">
        <v>882</v>
      </c>
      <c r="BG7" s="660" t="s">
        <v>880</v>
      </c>
      <c r="BH7" s="660" t="s">
        <v>882</v>
      </c>
      <c r="BI7" s="660" t="s">
        <v>881</v>
      </c>
      <c r="BJ7" s="660" t="s">
        <v>881</v>
      </c>
      <c r="BK7" s="660" t="s">
        <v>881</v>
      </c>
      <c r="BL7" s="660" t="s">
        <v>881</v>
      </c>
      <c r="BM7" s="660" t="s">
        <v>881</v>
      </c>
      <c r="BN7" s="660" t="s">
        <v>880</v>
      </c>
      <c r="BO7" s="660" t="s">
        <v>880</v>
      </c>
      <c r="BP7" s="660" t="s">
        <v>882</v>
      </c>
      <c r="BQ7" s="660" t="s">
        <v>881</v>
      </c>
      <c r="BR7" s="660" t="s">
        <v>881</v>
      </c>
      <c r="BS7" s="660" t="s">
        <v>881</v>
      </c>
      <c r="BT7" s="660" t="s">
        <v>881</v>
      </c>
      <c r="BU7" s="660" t="s">
        <v>881</v>
      </c>
      <c r="BV7" s="660" t="s">
        <v>881</v>
      </c>
      <c r="BW7" s="660" t="s">
        <v>881</v>
      </c>
      <c r="BX7" s="660" t="s">
        <v>881</v>
      </c>
      <c r="BY7" s="660" t="s">
        <v>885</v>
      </c>
      <c r="BZ7" s="660" t="s">
        <v>885</v>
      </c>
      <c r="CA7" s="660" t="s">
        <v>885</v>
      </c>
      <c r="CB7" s="660" t="s">
        <v>885</v>
      </c>
      <c r="CC7" s="660" t="s">
        <v>888</v>
      </c>
      <c r="CD7" s="660" t="s">
        <v>881</v>
      </c>
      <c r="CE7" s="660" t="s">
        <v>881</v>
      </c>
      <c r="CF7" s="660" t="s">
        <v>881</v>
      </c>
      <c r="CG7" s="660" t="s">
        <v>881</v>
      </c>
      <c r="CH7" s="660" t="s">
        <v>881</v>
      </c>
      <c r="CI7" s="660" t="s">
        <v>881</v>
      </c>
    </row>
  </sheetData>
  <sheetProtection algorithmName="SHA-512" hashValue="ZjtF9Wg2NodRomyhbfCfrZ4a3r9V+1edjdfOo+9SnUnLC1EQPK7uRWHPgbOkZ+WLhN6n44hhKfgYru0mr7nhuw==" saltValue="e6EN8vuzwGx0eMV2PorifA==" spinCount="100000" sheet="1" objects="1" scenarios="1"/>
  <mergeCells count="10">
    <mergeCell ref="BA1:BX1"/>
    <mergeCell ref="BY1:CB1"/>
    <mergeCell ref="CC1:CC2"/>
    <mergeCell ref="CD1:CI1"/>
    <mergeCell ref="A1:A2"/>
    <mergeCell ref="B1:B2"/>
    <mergeCell ref="C1:C2"/>
    <mergeCell ref="D1:D2"/>
    <mergeCell ref="E1:AB1"/>
    <mergeCell ref="AC1:A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zoomScale="130" zoomScaleNormal="130" zoomScaleSheetLayoutView="145" workbookViewId="0" topLeftCell="A1">
      <selection activeCell="E1" sqref="E1"/>
    </sheetView>
  </sheetViews>
  <sheetFormatPr defaultColWidth="9.140625" defaultRowHeight="15"/>
  <cols>
    <col min="1" max="2" width="3.140625" style="137" customWidth="1"/>
    <col min="3" max="3" width="15.57421875" style="137" customWidth="1"/>
    <col min="4" max="4" width="65.57421875" style="137" customWidth="1"/>
    <col min="5" max="16384" width="9.00390625" style="149" customWidth="1"/>
  </cols>
  <sheetData>
    <row r="1" spans="1:5" s="644" customFormat="1" ht="24.95" customHeight="1">
      <c r="A1" s="683" t="s">
        <v>832</v>
      </c>
      <c r="B1" s="683"/>
      <c r="C1" s="683"/>
      <c r="D1" s="683"/>
      <c r="E1" s="643" t="str">
        <f>Version</f>
        <v>Ver: 2019.09.16.</v>
      </c>
    </row>
    <row r="2" spans="1:4" ht="13.5" customHeight="1">
      <c r="A2" s="689" t="s">
        <v>548</v>
      </c>
      <c r="B2" s="690"/>
      <c r="C2" s="691"/>
      <c r="D2" s="233" t="s">
        <v>429</v>
      </c>
    </row>
    <row r="3" spans="1:4" ht="15">
      <c r="A3" s="692"/>
      <c r="B3" s="693"/>
      <c r="C3" s="694"/>
      <c r="D3" s="234" t="s">
        <v>313</v>
      </c>
    </row>
    <row r="4" spans="1:4" ht="15">
      <c r="A4" s="692"/>
      <c r="B4" s="693"/>
      <c r="C4" s="694"/>
      <c r="D4" s="234" t="s">
        <v>361</v>
      </c>
    </row>
    <row r="5" spans="1:4" ht="15">
      <c r="A5" s="692"/>
      <c r="B5" s="693"/>
      <c r="C5" s="694"/>
      <c r="D5" s="234" t="s">
        <v>362</v>
      </c>
    </row>
    <row r="6" spans="1:6" ht="16.5">
      <c r="A6" s="692"/>
      <c r="B6" s="693"/>
      <c r="C6" s="694"/>
      <c r="D6" s="234" t="s">
        <v>965</v>
      </c>
      <c r="F6" s="556"/>
    </row>
    <row r="7" spans="1:4" ht="15">
      <c r="A7" s="692"/>
      <c r="B7" s="693"/>
      <c r="C7" s="694"/>
      <c r="D7" s="235" t="s">
        <v>966</v>
      </c>
    </row>
    <row r="8" spans="1:4" ht="14.25" thickBot="1">
      <c r="A8" s="695"/>
      <c r="B8" s="696"/>
      <c r="C8" s="697"/>
      <c r="D8" s="257" t="s">
        <v>967</v>
      </c>
    </row>
    <row r="9" spans="1:4" ht="27">
      <c r="A9" s="692" t="s">
        <v>549</v>
      </c>
      <c r="B9" s="693"/>
      <c r="C9" s="694"/>
      <c r="D9" s="236" t="s">
        <v>968</v>
      </c>
    </row>
    <row r="10" spans="1:4" ht="15">
      <c r="A10" s="692"/>
      <c r="B10" s="693"/>
      <c r="C10" s="694"/>
      <c r="D10" s="237" t="s">
        <v>969</v>
      </c>
    </row>
    <row r="11" spans="1:4" ht="15">
      <c r="A11" s="692"/>
      <c r="B11" s="693"/>
      <c r="C11" s="694"/>
      <c r="D11" s="237" t="s">
        <v>970</v>
      </c>
    </row>
    <row r="12" spans="1:4" ht="15">
      <c r="A12" s="692"/>
      <c r="B12" s="693"/>
      <c r="C12" s="694"/>
      <c r="D12" s="237" t="s">
        <v>971</v>
      </c>
    </row>
    <row r="13" spans="1:4" ht="15">
      <c r="A13" s="698"/>
      <c r="B13" s="699"/>
      <c r="C13" s="700"/>
      <c r="D13" s="238"/>
    </row>
    <row r="14" spans="1:4" ht="27" customHeight="1">
      <c r="A14" s="702" t="s">
        <v>428</v>
      </c>
      <c r="B14" s="703"/>
      <c r="C14" s="704"/>
      <c r="D14" s="243" t="s">
        <v>372</v>
      </c>
    </row>
    <row r="15" spans="1:4" ht="13.5" customHeight="1">
      <c r="A15" s="705" t="s">
        <v>412</v>
      </c>
      <c r="B15" s="706"/>
      <c r="C15" s="707"/>
      <c r="D15" s="244" t="s">
        <v>364</v>
      </c>
    </row>
    <row r="16" spans="1:4" ht="15">
      <c r="A16" s="708"/>
      <c r="B16" s="709"/>
      <c r="C16" s="710"/>
      <c r="D16" s="245" t="s">
        <v>312</v>
      </c>
    </row>
    <row r="17" spans="1:4" ht="54">
      <c r="A17" s="711"/>
      <c r="B17" s="712"/>
      <c r="C17" s="713"/>
      <c r="D17" s="246" t="s">
        <v>550</v>
      </c>
    </row>
    <row r="18" spans="1:4" ht="40.5">
      <c r="A18" s="717" t="s">
        <v>371</v>
      </c>
      <c r="B18" s="718"/>
      <c r="C18" s="719"/>
      <c r="D18" s="250" t="s">
        <v>430</v>
      </c>
    </row>
    <row r="19" spans="1:4" ht="27">
      <c r="A19" s="714" t="s">
        <v>413</v>
      </c>
      <c r="B19" s="715"/>
      <c r="C19" s="716"/>
      <c r="D19" s="247" t="s">
        <v>750</v>
      </c>
    </row>
    <row r="20" spans="1:4" ht="13.5" customHeight="1">
      <c r="A20" s="705" t="s">
        <v>833</v>
      </c>
      <c r="B20" s="706"/>
      <c r="C20" s="707"/>
      <c r="D20" s="239" t="s">
        <v>749</v>
      </c>
    </row>
    <row r="21" spans="1:4" ht="15">
      <c r="A21" s="708"/>
      <c r="B21" s="709"/>
      <c r="C21" s="710"/>
      <c r="D21" s="240" t="s">
        <v>365</v>
      </c>
    </row>
    <row r="22" spans="1:4" ht="15">
      <c r="A22" s="708"/>
      <c r="B22" s="709"/>
      <c r="C22" s="710"/>
      <c r="D22" s="241" t="s">
        <v>366</v>
      </c>
    </row>
    <row r="23" spans="1:4" ht="15">
      <c r="A23" s="711"/>
      <c r="B23" s="712"/>
      <c r="C23" s="713"/>
      <c r="D23" s="242" t="s">
        <v>367</v>
      </c>
    </row>
    <row r="24" spans="1:4" ht="35.1" customHeight="1">
      <c r="A24" s="705" t="s">
        <v>834</v>
      </c>
      <c r="B24" s="706"/>
      <c r="C24" s="707"/>
      <c r="D24" s="249" t="s">
        <v>747</v>
      </c>
    </row>
    <row r="25" spans="1:4" ht="16.5">
      <c r="A25" s="701" t="s">
        <v>835</v>
      </c>
      <c r="B25" s="687" t="s">
        <v>378</v>
      </c>
      <c r="C25" s="687"/>
      <c r="D25" s="251" t="s">
        <v>375</v>
      </c>
    </row>
    <row r="26" spans="1:4" ht="27">
      <c r="A26" s="701"/>
      <c r="B26" s="684" t="s">
        <v>384</v>
      </c>
      <c r="C26" s="253" t="s">
        <v>385</v>
      </c>
      <c r="D26" s="252" t="s">
        <v>373</v>
      </c>
    </row>
    <row r="27" spans="1:4" ht="16.5">
      <c r="A27" s="701"/>
      <c r="B27" s="685"/>
      <c r="C27" s="720" t="s">
        <v>386</v>
      </c>
      <c r="D27" s="252" t="s">
        <v>392</v>
      </c>
    </row>
    <row r="28" spans="1:4" ht="49.5">
      <c r="A28" s="701"/>
      <c r="B28" s="686"/>
      <c r="C28" s="720"/>
      <c r="D28" s="252" t="s">
        <v>664</v>
      </c>
    </row>
    <row r="29" spans="1:4" ht="16.5" customHeight="1">
      <c r="A29" s="701"/>
      <c r="B29" s="684" t="s">
        <v>374</v>
      </c>
      <c r="C29" s="253" t="s">
        <v>379</v>
      </c>
      <c r="D29" s="688" t="s">
        <v>376</v>
      </c>
    </row>
    <row r="30" spans="1:4" ht="16.5" customHeight="1">
      <c r="A30" s="701"/>
      <c r="B30" s="685"/>
      <c r="C30" s="253" t="s">
        <v>380</v>
      </c>
      <c r="D30" s="688"/>
    </row>
    <row r="31" spans="1:4" ht="35.1" customHeight="1">
      <c r="A31" s="701"/>
      <c r="B31" s="685"/>
      <c r="C31" s="253" t="s">
        <v>390</v>
      </c>
      <c r="D31" s="252" t="s">
        <v>393</v>
      </c>
    </row>
    <row r="32" spans="1:4" ht="16.5">
      <c r="A32" s="701"/>
      <c r="B32" s="685"/>
      <c r="C32" s="253" t="s">
        <v>387</v>
      </c>
      <c r="D32" s="252" t="s">
        <v>377</v>
      </c>
    </row>
    <row r="33" spans="1:4" ht="16.5">
      <c r="A33" s="701"/>
      <c r="B33" s="685"/>
      <c r="C33" s="255" t="s">
        <v>388</v>
      </c>
      <c r="D33" s="252" t="s">
        <v>381</v>
      </c>
    </row>
    <row r="34" spans="1:4" ht="27">
      <c r="A34" s="701"/>
      <c r="B34" s="686"/>
      <c r="C34" s="253" t="s">
        <v>389</v>
      </c>
      <c r="D34" s="252" t="s">
        <v>382</v>
      </c>
    </row>
    <row r="35" spans="1:4" ht="16.5" customHeight="1">
      <c r="A35" s="681" t="s">
        <v>836</v>
      </c>
      <c r="B35" s="681"/>
      <c r="C35" s="681"/>
      <c r="D35" s="248" t="s">
        <v>383</v>
      </c>
    </row>
    <row r="36" spans="1:4" ht="49.5">
      <c r="A36" s="681"/>
      <c r="B36" s="681"/>
      <c r="C36" s="681"/>
      <c r="D36" s="248" t="s">
        <v>394</v>
      </c>
    </row>
    <row r="37" spans="1:4" ht="16.5">
      <c r="A37" s="678" t="s">
        <v>837</v>
      </c>
      <c r="B37" s="679"/>
      <c r="C37" s="680"/>
      <c r="D37" s="254" t="s">
        <v>840</v>
      </c>
    </row>
    <row r="38" spans="1:4" ht="13.5" customHeight="1">
      <c r="A38" s="682" t="s">
        <v>838</v>
      </c>
      <c r="B38" s="682"/>
      <c r="C38" s="682"/>
      <c r="D38" s="376" t="s">
        <v>748</v>
      </c>
    </row>
    <row r="39" spans="1:4" ht="27">
      <c r="A39" s="682"/>
      <c r="B39" s="682"/>
      <c r="C39" s="682"/>
      <c r="D39" s="256" t="s">
        <v>839</v>
      </c>
    </row>
    <row r="40" spans="1:4" ht="27">
      <c r="A40" s="682"/>
      <c r="B40" s="682"/>
      <c r="C40" s="682"/>
      <c r="D40" s="256" t="s">
        <v>391</v>
      </c>
    </row>
    <row r="41" spans="1:4" ht="15">
      <c r="A41" s="675" t="s">
        <v>368</v>
      </c>
      <c r="B41" s="676"/>
      <c r="C41" s="676"/>
      <c r="D41" s="677"/>
    </row>
    <row r="42" spans="1:4" ht="15">
      <c r="A42" s="669" t="s">
        <v>369</v>
      </c>
      <c r="B42" s="670"/>
      <c r="C42" s="670"/>
      <c r="D42" s="671"/>
    </row>
    <row r="43" spans="1:4" ht="15">
      <c r="A43" s="672" t="s">
        <v>370</v>
      </c>
      <c r="B43" s="673"/>
      <c r="C43" s="673"/>
      <c r="D43" s="674"/>
    </row>
  </sheetData>
  <sheetProtection algorithmName="SHA-512" hashValue="eqXCkstMf9W54IV6chmpkrNAdZc2hZ/koA7T3BVb9O3j3o4eY7yBNA/Y8dw6XAfdU6tawOxJS7XFTKXIkRXS7A==" saltValue="q/Yp7nFJ7GptmXZVWkabbQ==" spinCount="100000" sheet="1" objects="1" scenarios="1"/>
  <mergeCells count="21">
    <mergeCell ref="A1:D1"/>
    <mergeCell ref="B26:B28"/>
    <mergeCell ref="B29:B34"/>
    <mergeCell ref="B25:C25"/>
    <mergeCell ref="D29:D30"/>
    <mergeCell ref="A2:C8"/>
    <mergeCell ref="A9:C13"/>
    <mergeCell ref="A25:A34"/>
    <mergeCell ref="A14:C14"/>
    <mergeCell ref="A24:C24"/>
    <mergeCell ref="A20:C23"/>
    <mergeCell ref="A19:C19"/>
    <mergeCell ref="A18:C18"/>
    <mergeCell ref="A15:C17"/>
    <mergeCell ref="C27:C28"/>
    <mergeCell ref="A42:D42"/>
    <mergeCell ref="A43:D43"/>
    <mergeCell ref="A41:D41"/>
    <mergeCell ref="A37:C37"/>
    <mergeCell ref="A35:C36"/>
    <mergeCell ref="A38:C40"/>
  </mergeCells>
  <printOptions horizontalCentered="1"/>
  <pageMargins left="0.4330708661417323" right="0.31496062992125984" top="0.7480314960629921" bottom="0.4724409448818898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40"/>
  <sheetViews>
    <sheetView showGridLines="0" view="pageBreakPreview" zoomScale="85" zoomScaleSheetLayoutView="85" workbookViewId="0" topLeftCell="A1">
      <pane ySplit="1" topLeftCell="A2" activePane="bottomLeft" state="frozen"/>
      <selection pane="topLeft" activeCell="A7" sqref="A7"/>
      <selection pane="bottomLeft" activeCell="P3" sqref="P3:R3"/>
    </sheetView>
  </sheetViews>
  <sheetFormatPr defaultColWidth="9.140625" defaultRowHeight="15"/>
  <cols>
    <col min="1" max="1" width="6.57421875" style="71" customWidth="1"/>
    <col min="2" max="2" width="13.57421875" style="72" customWidth="1"/>
    <col min="3" max="19" width="5.57421875" style="73" customWidth="1"/>
    <col min="20" max="20" width="18.421875" style="73" hidden="1" customWidth="1"/>
    <col min="21" max="21" width="11.00390625" style="73" hidden="1" customWidth="1"/>
    <col min="22" max="23" width="20.57421875" style="73" hidden="1" customWidth="1"/>
    <col min="24" max="24" width="15.7109375" style="73" hidden="1" customWidth="1"/>
    <col min="25" max="25" width="5.421875" style="73" hidden="1" customWidth="1"/>
    <col min="26" max="26" width="18.8515625" style="73" hidden="1" customWidth="1"/>
    <col min="27" max="32" width="9.00390625" style="73" customWidth="1"/>
    <col min="33" max="16384" width="9.00390625" style="73" customWidth="1"/>
  </cols>
  <sheetData>
    <row r="1" spans="1:21" s="70" customFormat="1" ht="30.75" customHeight="1" thickBot="1">
      <c r="A1" s="377">
        <v>2020</v>
      </c>
      <c r="B1" s="201" t="s">
        <v>693</v>
      </c>
      <c r="C1" s="93"/>
      <c r="D1" s="93"/>
      <c r="E1" s="93"/>
      <c r="F1" s="93"/>
      <c r="G1" s="93"/>
      <c r="H1" s="93"/>
      <c r="I1" s="93"/>
      <c r="J1" s="94"/>
      <c r="K1" s="93"/>
      <c r="L1" s="93"/>
      <c r="M1" s="93"/>
      <c r="N1" s="93"/>
      <c r="O1" s="93"/>
      <c r="P1" s="95"/>
      <c r="Q1" s="96"/>
      <c r="R1" s="94"/>
      <c r="S1" s="223" t="s">
        <v>743</v>
      </c>
      <c r="T1" s="69"/>
      <c r="U1" s="69"/>
    </row>
    <row r="2" spans="1:18" s="69" customFormat="1" ht="9.95" customHeight="1" thickBot="1">
      <c r="A2" s="97"/>
      <c r="B2" s="98"/>
      <c r="C2" s="99"/>
      <c r="D2" s="99"/>
      <c r="E2" s="99"/>
      <c r="F2" s="99"/>
      <c r="G2" s="99"/>
      <c r="H2" s="99"/>
      <c r="I2" s="99"/>
      <c r="J2" s="100"/>
      <c r="K2" s="99"/>
      <c r="L2" s="99"/>
      <c r="M2" s="99"/>
      <c r="N2" s="99"/>
      <c r="O2" s="99"/>
      <c r="P2" s="101"/>
      <c r="Q2" s="100"/>
      <c r="R2" s="100"/>
    </row>
    <row r="3" spans="1:19" s="203" customFormat="1" ht="20.25" thickBot="1">
      <c r="A3" s="202"/>
      <c r="B3" s="224" t="s">
        <v>742</v>
      </c>
      <c r="C3" s="204"/>
      <c r="D3" s="204"/>
      <c r="E3" s="204"/>
      <c r="F3" s="204"/>
      <c r="G3" s="204"/>
      <c r="H3" s="204"/>
      <c r="I3" s="204"/>
      <c r="J3" s="334"/>
      <c r="K3" s="334"/>
      <c r="L3" s="334"/>
      <c r="M3" s="334"/>
      <c r="N3" s="334"/>
      <c r="O3" s="334"/>
      <c r="P3" s="723" t="str">
        <f>Version</f>
        <v>Ver: 2019.09.16.</v>
      </c>
      <c r="Q3" s="724"/>
      <c r="R3" s="725"/>
      <c r="S3" s="223" t="s">
        <v>359</v>
      </c>
    </row>
    <row r="4" spans="1:19" ht="24.95" customHeight="1">
      <c r="A4" s="755" t="s">
        <v>289</v>
      </c>
      <c r="B4" s="492" t="s">
        <v>121</v>
      </c>
      <c r="C4" s="759"/>
      <c r="D4" s="759"/>
      <c r="E4" s="760"/>
      <c r="F4" s="733" t="s">
        <v>122</v>
      </c>
      <c r="G4" s="734"/>
      <c r="H4" s="734"/>
      <c r="I4" s="774"/>
      <c r="J4" s="774"/>
      <c r="K4" s="774"/>
      <c r="L4" s="775"/>
      <c r="M4" s="733" t="s">
        <v>123</v>
      </c>
      <c r="N4" s="734"/>
      <c r="O4" s="734"/>
      <c r="P4" s="772"/>
      <c r="Q4" s="772"/>
      <c r="R4" s="773"/>
      <c r="S4" s="223" t="s">
        <v>741</v>
      </c>
    </row>
    <row r="5" spans="1:18" s="76" customFormat="1" ht="9.95" customHeight="1" thickBot="1">
      <c r="A5" s="756"/>
      <c r="B5" s="75"/>
      <c r="P5" s="130"/>
      <c r="Q5" s="130"/>
      <c r="R5" s="130"/>
    </row>
    <row r="6" spans="1:22" ht="33" customHeight="1" thickBot="1">
      <c r="A6" s="756"/>
      <c r="B6" s="788" t="s">
        <v>131</v>
      </c>
      <c r="C6" s="739" t="s">
        <v>351</v>
      </c>
      <c r="D6" s="740"/>
      <c r="E6" s="82"/>
      <c r="F6" s="731" t="s">
        <v>98</v>
      </c>
      <c r="G6" s="731"/>
      <c r="H6" s="79"/>
      <c r="I6" s="731" t="s">
        <v>290</v>
      </c>
      <c r="J6" s="731"/>
      <c r="K6" s="79"/>
      <c r="L6" s="752" t="s">
        <v>43</v>
      </c>
      <c r="M6" s="809"/>
      <c r="N6" s="797" t="s">
        <v>192</v>
      </c>
      <c r="O6" s="762"/>
      <c r="P6" s="813"/>
      <c r="Q6" s="813"/>
      <c r="R6" s="814"/>
      <c r="S6" s="223" t="s">
        <v>740</v>
      </c>
      <c r="U6" s="227">
        <v>1</v>
      </c>
      <c r="V6" s="215" t="str">
        <f>_xlfn.IFERROR(VLOOKUP(학력선택번호,학력구분표,2,0),"")</f>
        <v>졸업예정</v>
      </c>
    </row>
    <row r="7" spans="1:22" ht="24.95" customHeight="1">
      <c r="A7" s="756"/>
      <c r="B7" s="789"/>
      <c r="C7" s="733" t="s">
        <v>132</v>
      </c>
      <c r="D7" s="734"/>
      <c r="E7" s="734"/>
      <c r="F7" s="734"/>
      <c r="G7" s="726"/>
      <c r="H7" s="726"/>
      <c r="I7" s="726"/>
      <c r="J7" s="727"/>
      <c r="M7" s="733" t="s">
        <v>133</v>
      </c>
      <c r="N7" s="734"/>
      <c r="O7" s="734"/>
      <c r="P7" s="734"/>
      <c r="Q7" s="749"/>
      <c r="R7" s="750"/>
      <c r="U7" s="214" t="str">
        <f>IF(검정고시합격년도="","",MATCH(검정고시합격년도,검정고시조견표_필드행,0))</f>
        <v/>
      </c>
      <c r="V7" s="279" t="s">
        <v>190</v>
      </c>
    </row>
    <row r="8" spans="1:30" ht="24.95" customHeight="1">
      <c r="A8" s="756"/>
      <c r="B8" s="790"/>
      <c r="C8" s="733" t="s">
        <v>149</v>
      </c>
      <c r="D8" s="734"/>
      <c r="E8" s="734"/>
      <c r="F8" s="734"/>
      <c r="G8" s="728"/>
      <c r="H8" s="728"/>
      <c r="I8" s="91" t="s">
        <v>150</v>
      </c>
      <c r="J8" s="728"/>
      <c r="K8" s="728"/>
      <c r="L8" s="92" t="s">
        <v>148</v>
      </c>
      <c r="M8" s="733" t="s">
        <v>151</v>
      </c>
      <c r="N8" s="734"/>
      <c r="O8" s="734"/>
      <c r="P8" s="734"/>
      <c r="Q8" s="798"/>
      <c r="R8" s="799"/>
      <c r="U8" s="115" t="str">
        <f>IF(OR(검정고시합격년도="",검정고시합격점수=""),"",VLOOKUP(ROUND(검정고시합격점수,0),검정고시조견표,검정고시합격년도_필드위치,0))</f>
        <v/>
      </c>
      <c r="V8" s="279" t="s">
        <v>191</v>
      </c>
      <c r="W8" s="328">
        <f>ROUND(검정고시합격점수,0)</f>
        <v>0</v>
      </c>
      <c r="AD8" s="217"/>
    </row>
    <row r="9" spans="1:10" ht="9.95" customHeight="1" thickBot="1">
      <c r="A9" s="756"/>
      <c r="B9" s="75"/>
      <c r="C9" s="76"/>
      <c r="D9" s="76"/>
      <c r="E9" s="76"/>
      <c r="F9" s="76"/>
      <c r="G9" s="76"/>
      <c r="H9" s="76"/>
      <c r="I9" s="76"/>
      <c r="J9" s="76"/>
    </row>
    <row r="10" spans="1:22" ht="30" customHeight="1" thickBot="1">
      <c r="A10" s="756"/>
      <c r="B10" s="451" t="s">
        <v>350</v>
      </c>
      <c r="C10" s="288"/>
      <c r="D10" s="729" t="s">
        <v>124</v>
      </c>
      <c r="E10" s="729"/>
      <c r="F10" s="730"/>
      <c r="G10" s="289"/>
      <c r="H10" s="729" t="s">
        <v>751</v>
      </c>
      <c r="I10" s="729"/>
      <c r="J10" s="730"/>
      <c r="K10" s="289"/>
      <c r="L10" s="729" t="s">
        <v>125</v>
      </c>
      <c r="M10" s="729"/>
      <c r="N10" s="730"/>
      <c r="O10" s="289"/>
      <c r="P10" s="729" t="s">
        <v>126</v>
      </c>
      <c r="Q10" s="729"/>
      <c r="R10" s="730"/>
      <c r="S10" s="74"/>
      <c r="T10" s="74"/>
      <c r="U10" s="227">
        <v>2</v>
      </c>
      <c r="V10" s="225" t="str">
        <f>_xlfn.IFERROR(VLOOKUP(전형구분선택번호,전형구분표,2,0),"")</f>
        <v>특별전형</v>
      </c>
    </row>
    <row r="11" spans="1:10" ht="9.95" customHeight="1" thickBot="1">
      <c r="A11" s="756"/>
      <c r="B11" s="75"/>
      <c r="C11" s="76"/>
      <c r="D11" s="76"/>
      <c r="E11" s="76"/>
      <c r="F11" s="76"/>
      <c r="G11" s="76"/>
      <c r="H11" s="76"/>
      <c r="I11" s="76"/>
      <c r="J11" s="76"/>
    </row>
    <row r="12" spans="1:23" ht="30" customHeight="1">
      <c r="A12" s="756"/>
      <c r="B12" s="788" t="s">
        <v>436</v>
      </c>
      <c r="C12" s="77"/>
      <c r="D12" s="731" t="s">
        <v>127</v>
      </c>
      <c r="E12" s="731"/>
      <c r="F12" s="731"/>
      <c r="G12" s="732"/>
      <c r="H12" s="78"/>
      <c r="I12" s="731" t="s">
        <v>109</v>
      </c>
      <c r="J12" s="731"/>
      <c r="K12" s="731"/>
      <c r="L12" s="732"/>
      <c r="M12" s="82"/>
      <c r="N12" s="731" t="s">
        <v>128</v>
      </c>
      <c r="O12" s="731"/>
      <c r="P12" s="731"/>
      <c r="Q12" s="732"/>
      <c r="U12" s="794"/>
      <c r="V12" s="791" t="str">
        <f>_xlfn.IFERROR(VLOOKUP(특별전형구분선택번호,특별전형구분표,2,0),"")</f>
        <v/>
      </c>
      <c r="W12" s="746" t="str">
        <f>_xlfn.IFERROR(VLOOKUP(특별전형구분선택번호,특별전형구분표,3,0),"")</f>
        <v/>
      </c>
    </row>
    <row r="13" spans="1:23" ht="30" customHeight="1">
      <c r="A13" s="756"/>
      <c r="B13" s="789"/>
      <c r="C13" s="80"/>
      <c r="D13" s="731" t="s">
        <v>298</v>
      </c>
      <c r="E13" s="731"/>
      <c r="F13" s="731"/>
      <c r="G13" s="732"/>
      <c r="H13" s="81"/>
      <c r="I13" s="729" t="s">
        <v>129</v>
      </c>
      <c r="J13" s="729"/>
      <c r="K13" s="729"/>
      <c r="L13" s="730"/>
      <c r="M13" s="79"/>
      <c r="N13" s="731" t="s">
        <v>292</v>
      </c>
      <c r="O13" s="731"/>
      <c r="P13" s="731"/>
      <c r="Q13" s="732"/>
      <c r="U13" s="795"/>
      <c r="V13" s="792"/>
      <c r="W13" s="747"/>
    </row>
    <row r="14" spans="1:23" ht="30" customHeight="1" thickBot="1">
      <c r="A14" s="756"/>
      <c r="B14" s="790"/>
      <c r="C14" s="77"/>
      <c r="D14" s="731" t="s">
        <v>293</v>
      </c>
      <c r="E14" s="731"/>
      <c r="F14" s="731"/>
      <c r="G14" s="732"/>
      <c r="H14" s="81"/>
      <c r="I14" s="729" t="s">
        <v>130</v>
      </c>
      <c r="J14" s="729"/>
      <c r="K14" s="729"/>
      <c r="L14" s="729"/>
      <c r="M14" s="729"/>
      <c r="N14" s="729"/>
      <c r="O14" s="729"/>
      <c r="P14" s="729"/>
      <c r="Q14" s="730"/>
      <c r="U14" s="796"/>
      <c r="V14" s="793"/>
      <c r="W14" s="748"/>
    </row>
    <row r="15" spans="1:26" ht="9.95" customHeight="1" thickBot="1">
      <c r="A15" s="756"/>
      <c r="B15" s="75"/>
      <c r="C15" s="76"/>
      <c r="D15" s="76"/>
      <c r="E15" s="76"/>
      <c r="F15" s="76"/>
      <c r="G15" s="76"/>
      <c r="H15" s="76"/>
      <c r="I15" s="76"/>
      <c r="J15" s="76"/>
      <c r="Y15" s="132" t="s">
        <v>207</v>
      </c>
      <c r="Z15" s="432" t="s">
        <v>209</v>
      </c>
    </row>
    <row r="16" spans="1:26" ht="30" customHeight="1">
      <c r="A16" s="756"/>
      <c r="B16" s="803" t="s">
        <v>730</v>
      </c>
      <c r="C16" s="82"/>
      <c r="D16" s="829" t="s">
        <v>734</v>
      </c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30"/>
      <c r="U16" s="794"/>
      <c r="V16" s="800" t="str">
        <f>_xlfn.IFERROR(VLOOKUP(U16,$Y$16:$Z$21,2,0),"")</f>
        <v/>
      </c>
      <c r="Y16" s="131">
        <v>1</v>
      </c>
      <c r="Z16" s="432" t="s">
        <v>210</v>
      </c>
    </row>
    <row r="17" spans="1:26" ht="20.1" customHeight="1">
      <c r="A17" s="756"/>
      <c r="B17" s="804"/>
      <c r="C17" s="551"/>
      <c r="D17" s="737" t="s">
        <v>739</v>
      </c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7"/>
      <c r="P17" s="737"/>
      <c r="Q17" s="737"/>
      <c r="R17" s="738"/>
      <c r="U17" s="795"/>
      <c r="V17" s="801"/>
      <c r="Y17" s="131">
        <v>2</v>
      </c>
      <c r="Z17" s="432" t="s">
        <v>731</v>
      </c>
    </row>
    <row r="18" spans="1:26" ht="30" customHeight="1">
      <c r="A18" s="756"/>
      <c r="B18" s="804"/>
      <c r="C18" s="135"/>
      <c r="D18" s="817" t="s">
        <v>738</v>
      </c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8"/>
      <c r="U18" s="795"/>
      <c r="V18" s="801"/>
      <c r="Y18" s="132">
        <v>3</v>
      </c>
      <c r="Z18" s="432" t="s">
        <v>732</v>
      </c>
    </row>
    <row r="19" spans="1:26" ht="30" customHeight="1">
      <c r="A19" s="756"/>
      <c r="B19" s="804"/>
      <c r="C19" s="135"/>
      <c r="D19" s="817" t="s">
        <v>729</v>
      </c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817"/>
      <c r="Q19" s="817"/>
      <c r="R19" s="818"/>
      <c r="U19" s="795"/>
      <c r="V19" s="801"/>
      <c r="Y19" s="132">
        <v>4</v>
      </c>
      <c r="Z19" s="432" t="s">
        <v>733</v>
      </c>
    </row>
    <row r="20" spans="1:26" ht="30" customHeight="1">
      <c r="A20" s="756"/>
      <c r="B20" s="804"/>
      <c r="C20" s="136"/>
      <c r="D20" s="819" t="s">
        <v>735</v>
      </c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820"/>
      <c r="U20" s="795"/>
      <c r="V20" s="801"/>
      <c r="Y20" s="132">
        <v>5</v>
      </c>
      <c r="Z20" s="432" t="s">
        <v>211</v>
      </c>
    </row>
    <row r="21" spans="1:26" ht="39.95" customHeight="1">
      <c r="A21" s="756"/>
      <c r="B21" s="804"/>
      <c r="C21" s="82"/>
      <c r="D21" s="735" t="s">
        <v>736</v>
      </c>
      <c r="E21" s="735"/>
      <c r="F21" s="735"/>
      <c r="G21" s="735"/>
      <c r="H21" s="735"/>
      <c r="I21" s="735"/>
      <c r="J21" s="735"/>
      <c r="K21" s="735"/>
      <c r="L21" s="735"/>
      <c r="M21" s="735"/>
      <c r="N21" s="735"/>
      <c r="O21" s="735"/>
      <c r="P21" s="735"/>
      <c r="Q21" s="735"/>
      <c r="R21" s="736"/>
      <c r="U21" s="795"/>
      <c r="V21" s="801"/>
      <c r="W21" s="134"/>
      <c r="Y21" s="550">
        <v>6</v>
      </c>
      <c r="Z21" s="432" t="s">
        <v>728</v>
      </c>
    </row>
    <row r="22" spans="1:22" ht="30" customHeight="1" thickBot="1">
      <c r="A22" s="756"/>
      <c r="B22" s="805"/>
      <c r="C22" s="136"/>
      <c r="D22" s="735" t="s">
        <v>737</v>
      </c>
      <c r="E22" s="735"/>
      <c r="F22" s="735"/>
      <c r="G22" s="735"/>
      <c r="H22" s="735"/>
      <c r="I22" s="735"/>
      <c r="J22" s="735"/>
      <c r="K22" s="735"/>
      <c r="L22" s="735"/>
      <c r="M22" s="735"/>
      <c r="N22" s="735"/>
      <c r="O22" s="735"/>
      <c r="P22" s="735"/>
      <c r="Q22" s="735"/>
      <c r="R22" s="736"/>
      <c r="U22" s="796"/>
      <c r="V22" s="802"/>
    </row>
    <row r="23" spans="1:10" ht="9.95" customHeight="1">
      <c r="A23" s="756"/>
      <c r="B23" s="75"/>
      <c r="C23" s="76"/>
      <c r="D23" s="76"/>
      <c r="E23" s="76"/>
      <c r="F23" s="76"/>
      <c r="G23" s="76"/>
      <c r="H23" s="76"/>
      <c r="I23" s="76"/>
      <c r="J23" s="76"/>
    </row>
    <row r="24" spans="1:18" ht="24.95" customHeight="1">
      <c r="A24" s="756"/>
      <c r="B24" s="492" t="s">
        <v>134</v>
      </c>
      <c r="C24" s="758"/>
      <c r="D24" s="758"/>
      <c r="E24" s="758"/>
      <c r="F24" s="821"/>
      <c r="G24" s="133"/>
      <c r="H24" s="806" t="s">
        <v>206</v>
      </c>
      <c r="I24" s="807"/>
      <c r="J24" s="734" t="s">
        <v>895</v>
      </c>
      <c r="K24" s="808"/>
      <c r="M24" s="733" t="s">
        <v>135</v>
      </c>
      <c r="N24" s="734"/>
      <c r="O24" s="822"/>
      <c r="P24" s="822"/>
      <c r="Q24" s="822"/>
      <c r="R24" s="823"/>
    </row>
    <row r="25" spans="1:24" ht="24.95" customHeight="1">
      <c r="A25" s="756"/>
      <c r="B25" s="768" t="s">
        <v>136</v>
      </c>
      <c r="C25" s="733" t="s">
        <v>137</v>
      </c>
      <c r="D25" s="734"/>
      <c r="E25" s="744"/>
      <c r="F25" s="744"/>
      <c r="G25" s="745"/>
      <c r="H25" s="751" t="s">
        <v>138</v>
      </c>
      <c r="I25" s="752"/>
      <c r="J25" s="753"/>
      <c r="K25" s="753"/>
      <c r="L25" s="754"/>
      <c r="M25" s="751" t="s">
        <v>744</v>
      </c>
      <c r="N25" s="752"/>
      <c r="O25" s="753"/>
      <c r="P25" s="753"/>
      <c r="Q25" s="753"/>
      <c r="R25" s="754"/>
      <c r="U25" s="272" t="b">
        <f>IF(COUNTIF(광역시도표,학생광역시도)&gt;0,TRUE,FALSE)</f>
        <v>0</v>
      </c>
      <c r="V25" s="117" t="b">
        <f>AND(ISERROR(FIND(" ",학생시군구)),OR(RIGHT(학생시군구,1)="시",RIGHT(학생시군구,1)="군",RIGHT(학생시군구,1)="구"))</f>
        <v>0</v>
      </c>
      <c r="W25" s="117" t="b">
        <f>AND(ISERROR(FIND(" ",학생읍면동)),OR(RIGHT(학생읍면동,1)="읍",RIGHT(학생읍면동,1)="면",RIGHT(학생읍면동,1)="동",RIGHT(학생읍면동,1)="구",RIGHT(학생읍면동,1)="로",RIGHT(학생읍면동,1)="길"))</f>
        <v>0</v>
      </c>
      <c r="X25" s="117" t="s">
        <v>423</v>
      </c>
    </row>
    <row r="26" spans="1:24" ht="24.95" customHeight="1">
      <c r="A26" s="756"/>
      <c r="B26" s="769"/>
      <c r="C26" s="733" t="s">
        <v>139</v>
      </c>
      <c r="D26" s="734"/>
      <c r="E26" s="734"/>
      <c r="F26" s="734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3"/>
      <c r="U26" s="777" t="s">
        <v>205</v>
      </c>
      <c r="V26" s="777"/>
      <c r="W26" s="776" t="s">
        <v>424</v>
      </c>
      <c r="X26" s="776" t="s">
        <v>425</v>
      </c>
    </row>
    <row r="27" spans="1:24" ht="9.95" customHeight="1" thickBot="1">
      <c r="A27" s="756"/>
      <c r="B27" s="75"/>
      <c r="C27" s="76"/>
      <c r="D27" s="76"/>
      <c r="E27" s="76"/>
      <c r="F27" s="76"/>
      <c r="G27" s="76"/>
      <c r="H27" s="76"/>
      <c r="I27" s="76"/>
      <c r="J27" s="76"/>
      <c r="U27" s="781"/>
      <c r="V27" s="777"/>
      <c r="W27" s="777"/>
      <c r="X27" s="777"/>
    </row>
    <row r="28" spans="1:24" ht="30" customHeight="1" thickBot="1">
      <c r="A28" s="756"/>
      <c r="B28" s="788" t="s">
        <v>349</v>
      </c>
      <c r="C28" s="785" t="s">
        <v>422</v>
      </c>
      <c r="D28" s="741"/>
      <c r="E28" s="83"/>
      <c r="F28" s="741" t="s">
        <v>140</v>
      </c>
      <c r="G28" s="741"/>
      <c r="H28" s="741"/>
      <c r="I28" s="83"/>
      <c r="J28" s="741" t="s">
        <v>141</v>
      </c>
      <c r="K28" s="741"/>
      <c r="L28" s="84"/>
      <c r="M28" s="741" t="s">
        <v>142</v>
      </c>
      <c r="N28" s="770"/>
      <c r="O28" s="782" t="str">
        <f>IF(지망학과_오류검증,"반드시 지망학과 확인","학과선택 오류 발생함")</f>
        <v>학과선택 오류 발생함</v>
      </c>
      <c r="P28" s="783"/>
      <c r="Q28" s="783"/>
      <c r="R28" s="784"/>
      <c r="U28" s="228"/>
      <c r="V28" s="226" t="str">
        <f>_xlfn.IFERROR(VLOOKUP(U28,지망학과표,2,0),"")</f>
        <v/>
      </c>
      <c r="W28" s="117" t="b">
        <f>NOT(OR(제1지망학과_선택번호="",제1지망학과_선택번호=제2지망학과_선택번호,제1지망학과_선택번호=제3지망학과_선택번호))</f>
        <v>0</v>
      </c>
      <c r="X28" s="778" t="b">
        <f>AND(W28,W29,W30)</f>
        <v>0</v>
      </c>
    </row>
    <row r="29" spans="1:24" ht="30" customHeight="1" thickBot="1">
      <c r="A29" s="756"/>
      <c r="B29" s="789"/>
      <c r="C29" s="785" t="s">
        <v>114</v>
      </c>
      <c r="D29" s="741"/>
      <c r="E29" s="83"/>
      <c r="F29" s="741" t="s">
        <v>140</v>
      </c>
      <c r="G29" s="741"/>
      <c r="H29" s="741"/>
      <c r="I29" s="83"/>
      <c r="J29" s="741" t="s">
        <v>141</v>
      </c>
      <c r="K29" s="741"/>
      <c r="L29" s="84"/>
      <c r="M29" s="741" t="s">
        <v>142</v>
      </c>
      <c r="N29" s="741"/>
      <c r="O29" s="84"/>
      <c r="P29" s="741" t="s">
        <v>157</v>
      </c>
      <c r="Q29" s="741"/>
      <c r="R29" s="770"/>
      <c r="U29" s="228"/>
      <c r="V29" s="226" t="str">
        <f>_xlfn.IFERROR(VLOOKUP(U29,지망학과표,2,0),"")</f>
        <v/>
      </c>
      <c r="W29" s="117" t="b">
        <f>NOT(OR(제2지망학과_선택번호="",제1지망학과_선택번호=제2지망학과_선택번호,AND(제2지망학과_선택번호=제3지망학과_선택번호,제2지망학과_선택번호&lt;4),AND(제2지망학과_선택번호=4,제3지망학과_선택번호&lt;&gt;4)))</f>
        <v>0</v>
      </c>
      <c r="X29" s="779"/>
    </row>
    <row r="30" spans="1:26" ht="30" customHeight="1" thickBot="1">
      <c r="A30" s="757"/>
      <c r="B30" s="790"/>
      <c r="C30" s="785" t="s">
        <v>115</v>
      </c>
      <c r="D30" s="741"/>
      <c r="E30" s="83"/>
      <c r="F30" s="741" t="s">
        <v>140</v>
      </c>
      <c r="G30" s="741"/>
      <c r="H30" s="741"/>
      <c r="I30" s="83"/>
      <c r="J30" s="741" t="s">
        <v>141</v>
      </c>
      <c r="K30" s="741"/>
      <c r="L30" s="84"/>
      <c r="M30" s="741" t="s">
        <v>142</v>
      </c>
      <c r="N30" s="741"/>
      <c r="O30" s="84"/>
      <c r="P30" s="741" t="s">
        <v>156</v>
      </c>
      <c r="Q30" s="741"/>
      <c r="R30" s="770"/>
      <c r="U30" s="228"/>
      <c r="V30" s="226" t="str">
        <f>_xlfn.IFERROR(VLOOKUP(U30,지망학과표,2,0),"")</f>
        <v/>
      </c>
      <c r="W30" s="117" t="b">
        <f>NOT(OR(제3지망학과_선택번호="",제1지망학과_선택번호=제3지망학과_선택번호,AND(제2지망학과_선택번호=제3지망학과_선택번호,제3지망학과_선택번호&lt;4),AND(제2지망학과_선택번호=4,제3지망학과_선택번호&lt;&gt;4)))</f>
        <v>0</v>
      </c>
      <c r="X30" s="780"/>
      <c r="Y30" s="86"/>
      <c r="Z30" s="86"/>
    </row>
    <row r="31" spans="1:26" s="86" customFormat="1" ht="9.95" customHeight="1">
      <c r="A31" s="500"/>
      <c r="B31" s="85"/>
      <c r="C31" s="68"/>
      <c r="L31" s="87"/>
      <c r="M31" s="87"/>
      <c r="Y31" s="73"/>
      <c r="Z31" s="73"/>
    </row>
    <row r="32" spans="1:20" ht="27" customHeight="1">
      <c r="A32" s="721" t="s">
        <v>353</v>
      </c>
      <c r="B32" s="116" t="s">
        <v>193</v>
      </c>
      <c r="C32" s="759"/>
      <c r="D32" s="759"/>
      <c r="E32" s="760"/>
      <c r="F32" s="733" t="s">
        <v>120</v>
      </c>
      <c r="G32" s="734"/>
      <c r="H32" s="734"/>
      <c r="I32" s="734"/>
      <c r="J32" s="753"/>
      <c r="K32" s="753"/>
      <c r="L32" s="754"/>
      <c r="M32" s="816" t="s">
        <v>194</v>
      </c>
      <c r="N32" s="734"/>
      <c r="O32" s="774"/>
      <c r="P32" s="774"/>
      <c r="Q32" s="774"/>
      <c r="R32" s="775"/>
      <c r="S32" s="88"/>
      <c r="T32" s="88"/>
    </row>
    <row r="33" spans="1:23" ht="27" customHeight="1">
      <c r="A33" s="722"/>
      <c r="B33" s="499" t="s">
        <v>695</v>
      </c>
      <c r="C33" s="758">
        <v>29221</v>
      </c>
      <c r="D33" s="759"/>
      <c r="E33" s="760"/>
      <c r="F33" s="761"/>
      <c r="G33" s="762"/>
      <c r="H33" s="762"/>
      <c r="I33" s="762"/>
      <c r="J33" s="763"/>
      <c r="K33" s="763"/>
      <c r="L33" s="763"/>
      <c r="M33" s="764"/>
      <c r="N33" s="762"/>
      <c r="O33" s="810"/>
      <c r="P33" s="810"/>
      <c r="Q33" s="810"/>
      <c r="R33" s="811"/>
      <c r="S33" s="88"/>
      <c r="T33" s="88"/>
      <c r="U33" s="497" t="s">
        <v>421</v>
      </c>
      <c r="V33" s="498" t="s">
        <v>155</v>
      </c>
      <c r="W33" s="498" t="s">
        <v>432</v>
      </c>
    </row>
    <row r="34" spans="1:23" ht="9.95" customHeight="1">
      <c r="A34" s="501"/>
      <c r="O34" s="88"/>
      <c r="P34" s="88"/>
      <c r="Q34" s="88"/>
      <c r="R34" s="88"/>
      <c r="S34" s="88"/>
      <c r="T34" s="88"/>
      <c r="U34" s="496"/>
      <c r="V34" s="496"/>
      <c r="W34" s="496"/>
    </row>
    <row r="35" spans="1:23" ht="24.95" customHeight="1">
      <c r="A35" s="765" t="s">
        <v>352</v>
      </c>
      <c r="B35" s="494" t="s">
        <v>433</v>
      </c>
      <c r="C35" s="733" t="s">
        <v>137</v>
      </c>
      <c r="D35" s="734"/>
      <c r="E35" s="825"/>
      <c r="F35" s="825"/>
      <c r="G35" s="826"/>
      <c r="H35" s="751" t="s">
        <v>138</v>
      </c>
      <c r="I35" s="752"/>
      <c r="J35" s="753"/>
      <c r="K35" s="753"/>
      <c r="L35" s="753"/>
      <c r="M35" s="754"/>
      <c r="N35" s="571"/>
      <c r="O35" s="786"/>
      <c r="P35" s="786"/>
      <c r="Q35" s="786"/>
      <c r="R35" s="787"/>
      <c r="T35" s="430" t="s">
        <v>431</v>
      </c>
      <c r="U35" s="107" t="b">
        <f>학교광역시도="울산광역시"</f>
        <v>0</v>
      </c>
      <c r="V35" s="107" t="b">
        <f>학생광역시도="울산광역시"</f>
        <v>0</v>
      </c>
      <c r="W35" s="107" t="b">
        <f>학생광역시도="울산광역시"</f>
        <v>0</v>
      </c>
    </row>
    <row r="36" spans="1:23" ht="24.95" customHeight="1">
      <c r="A36" s="766"/>
      <c r="B36" s="493" t="s">
        <v>143</v>
      </c>
      <c r="C36" s="774"/>
      <c r="D36" s="774"/>
      <c r="E36" s="774"/>
      <c r="F36" s="774"/>
      <c r="G36" s="775"/>
      <c r="H36" s="76"/>
      <c r="I36" s="89"/>
      <c r="J36" s="733" t="s">
        <v>144</v>
      </c>
      <c r="K36" s="734"/>
      <c r="L36" s="734"/>
      <c r="M36" s="774"/>
      <c r="N36" s="774"/>
      <c r="O36" s="774"/>
      <c r="P36" s="774"/>
      <c r="Q36" s="774"/>
      <c r="R36" s="775"/>
      <c r="T36" s="453"/>
      <c r="U36" s="117"/>
      <c r="V36" s="117"/>
      <c r="W36" s="117"/>
    </row>
    <row r="37" spans="1:23" ht="24.95" customHeight="1">
      <c r="A37" s="767"/>
      <c r="B37" s="491" t="s">
        <v>152</v>
      </c>
      <c r="C37" s="824"/>
      <c r="D37" s="824"/>
      <c r="E37" s="824"/>
      <c r="F37" s="824"/>
      <c r="G37" s="824"/>
      <c r="H37" s="827" t="s">
        <v>439</v>
      </c>
      <c r="I37" s="828"/>
      <c r="J37" s="504"/>
      <c r="K37" s="502"/>
      <c r="L37" s="503"/>
      <c r="M37" s="503"/>
      <c r="N37" s="503"/>
      <c r="O37" s="503"/>
      <c r="P37" s="771" t="str">
        <f>Version</f>
        <v>Ver: 2019.09.16.</v>
      </c>
      <c r="Q37" s="771"/>
      <c r="R37" s="740"/>
      <c r="T37" s="431" t="s">
        <v>437</v>
      </c>
      <c r="U37" s="106" t="b">
        <f ca="1">IF(COUNTIF(중학교목록_울산,출신학교명)=0,FALSE,TRUE)</f>
        <v>0</v>
      </c>
      <c r="V37" s="106" t="b">
        <f>학력선택="검정고시합격"</f>
        <v>0</v>
      </c>
      <c r="W37" s="117" t="b">
        <f>AND(전형구분선택="특례입학전형",특례입학유형선택="82조3항 제1호")</f>
        <v>0</v>
      </c>
    </row>
    <row r="38" spans="20:22" ht="24.95" customHeight="1">
      <c r="T38" s="451" t="s">
        <v>438</v>
      </c>
      <c r="U38" s="452" t="b">
        <f ca="1">IF(학력선택="검정고시합격",AND(V37,V35),IF(AND(전형구분선택="특례입학전형",특례입학유형선택="82조3항 제1호"),AND(W37,W35),확인_울산지역_울산학교이름))</f>
        <v>0</v>
      </c>
      <c r="V38" s="442"/>
    </row>
    <row r="39" spans="20:22" ht="20.1" customHeight="1">
      <c r="T39" s="803" t="s">
        <v>830</v>
      </c>
      <c r="U39" s="449" t="b">
        <f ca="1">AND(U37=TRUE,U35=TRUE)</f>
        <v>0</v>
      </c>
      <c r="V39" s="450"/>
    </row>
    <row r="40" spans="20:22" ht="20.1" customHeight="1">
      <c r="T40" s="812"/>
      <c r="U40" s="815" t="s">
        <v>829</v>
      </c>
      <c r="V40" s="815"/>
    </row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</sheetData>
  <sheetProtection algorithmName="SHA-512" hashValue="q+xLy2ELDnG/OqHkc8zbAFRHDNdaHRLIiYPwnQ0cG18ONC1vK3/7Vp23TfXmCc8M6yX4Tq2wSdpomMX3+WWrVA==" saltValue="pjsaVeVRaWgKClI05NrbTw==" spinCount="100000" sheet="1" objects="1" scenarios="1"/>
  <mergeCells count="108">
    <mergeCell ref="T39:T40"/>
    <mergeCell ref="C28:D28"/>
    <mergeCell ref="H25:I25"/>
    <mergeCell ref="P6:R6"/>
    <mergeCell ref="D10:F10"/>
    <mergeCell ref="U40:V40"/>
    <mergeCell ref="M32:N32"/>
    <mergeCell ref="P10:R10"/>
    <mergeCell ref="M28:N28"/>
    <mergeCell ref="D18:R18"/>
    <mergeCell ref="D19:R19"/>
    <mergeCell ref="D20:R20"/>
    <mergeCell ref="C24:F24"/>
    <mergeCell ref="O24:R24"/>
    <mergeCell ref="C37:G37"/>
    <mergeCell ref="C36:G36"/>
    <mergeCell ref="J36:L36"/>
    <mergeCell ref="C35:D35"/>
    <mergeCell ref="E35:G35"/>
    <mergeCell ref="H35:I35"/>
    <mergeCell ref="M36:R36"/>
    <mergeCell ref="H37:I37"/>
    <mergeCell ref="D16:R16"/>
    <mergeCell ref="D21:R21"/>
    <mergeCell ref="O35:R35"/>
    <mergeCell ref="B28:B30"/>
    <mergeCell ref="B12:B14"/>
    <mergeCell ref="V12:V14"/>
    <mergeCell ref="B6:B8"/>
    <mergeCell ref="U12:U14"/>
    <mergeCell ref="N12:Q12"/>
    <mergeCell ref="N13:Q13"/>
    <mergeCell ref="I14:Q14"/>
    <mergeCell ref="N6:O6"/>
    <mergeCell ref="C8:F8"/>
    <mergeCell ref="M8:P8"/>
    <mergeCell ref="Q8:R8"/>
    <mergeCell ref="V16:V22"/>
    <mergeCell ref="B16:B22"/>
    <mergeCell ref="U16:U22"/>
    <mergeCell ref="J25:L25"/>
    <mergeCell ref="H24:I24"/>
    <mergeCell ref="J24:K24"/>
    <mergeCell ref="L6:M6"/>
    <mergeCell ref="O33:R33"/>
    <mergeCell ref="X26:X27"/>
    <mergeCell ref="X28:X30"/>
    <mergeCell ref="W26:W27"/>
    <mergeCell ref="U26:V27"/>
    <mergeCell ref="C32:E32"/>
    <mergeCell ref="F32:I32"/>
    <mergeCell ref="J32:L32"/>
    <mergeCell ref="F28:H28"/>
    <mergeCell ref="F29:H29"/>
    <mergeCell ref="F30:H30"/>
    <mergeCell ref="O32:R32"/>
    <mergeCell ref="P30:R30"/>
    <mergeCell ref="O28:R28"/>
    <mergeCell ref="C29:D29"/>
    <mergeCell ref="C30:D30"/>
    <mergeCell ref="J28:K28"/>
    <mergeCell ref="W12:W14"/>
    <mergeCell ref="D14:G14"/>
    <mergeCell ref="M7:P7"/>
    <mergeCell ref="Q7:R7"/>
    <mergeCell ref="M25:N25"/>
    <mergeCell ref="J35:M35"/>
    <mergeCell ref="A4:A30"/>
    <mergeCell ref="C33:E33"/>
    <mergeCell ref="F33:I33"/>
    <mergeCell ref="J33:L33"/>
    <mergeCell ref="M33:N33"/>
    <mergeCell ref="A35:A37"/>
    <mergeCell ref="B25:B26"/>
    <mergeCell ref="O25:R25"/>
    <mergeCell ref="M29:N29"/>
    <mergeCell ref="M30:N30"/>
    <mergeCell ref="P29:R29"/>
    <mergeCell ref="P37:R37"/>
    <mergeCell ref="C4:E4"/>
    <mergeCell ref="I6:J6"/>
    <mergeCell ref="M4:O4"/>
    <mergeCell ref="P4:R4"/>
    <mergeCell ref="F4:H4"/>
    <mergeCell ref="I4:L4"/>
    <mergeCell ref="A32:A33"/>
    <mergeCell ref="P3:R3"/>
    <mergeCell ref="G7:J7"/>
    <mergeCell ref="J8:K8"/>
    <mergeCell ref="G8:H8"/>
    <mergeCell ref="L10:N10"/>
    <mergeCell ref="D13:G13"/>
    <mergeCell ref="M24:N24"/>
    <mergeCell ref="D12:G12"/>
    <mergeCell ref="D22:R22"/>
    <mergeCell ref="D17:R17"/>
    <mergeCell ref="C26:F26"/>
    <mergeCell ref="H10:J10"/>
    <mergeCell ref="C7:F7"/>
    <mergeCell ref="I12:L12"/>
    <mergeCell ref="I13:L13"/>
    <mergeCell ref="C6:D6"/>
    <mergeCell ref="J29:K29"/>
    <mergeCell ref="J30:K30"/>
    <mergeCell ref="G26:R26"/>
    <mergeCell ref="F6:G6"/>
    <mergeCell ref="C25:D25"/>
    <mergeCell ref="E25:G25"/>
  </mergeCells>
  <conditionalFormatting sqref="M12:N13 H12:I14 B12:D14">
    <cfRule type="expression" priority="61" dxfId="4" stopIfTrue="1">
      <formula>전형구분선택번호&lt;&gt;2</formula>
    </cfRule>
  </conditionalFormatting>
  <conditionalFormatting sqref="C7:L7 C8 L8 G8 I8:J8 A36:R36 A37:P37 A35:J35 N35:R35">
    <cfRule type="expression" priority="60" dxfId="4" stopIfTrue="1">
      <formula>학력선택번호=3</formula>
    </cfRule>
  </conditionalFormatting>
  <conditionalFormatting sqref="M7:R8 N6:R6">
    <cfRule type="expression" priority="59" dxfId="22" stopIfTrue="1">
      <formula>학력선택번호&lt;&gt;3</formula>
    </cfRule>
  </conditionalFormatting>
  <conditionalFormatting sqref="P29:P30">
    <cfRule type="expression" priority="55" dxfId="60" stopIfTrue="1">
      <formula>$U29=4</formula>
    </cfRule>
  </conditionalFormatting>
  <conditionalFormatting sqref="F28:H28">
    <cfRule type="expression" priority="54" dxfId="50" stopIfTrue="1">
      <formula>OR(AND($U$28=1,$U$29=1),AND($U$28=1,$U$30=1))</formula>
    </cfRule>
  </conditionalFormatting>
  <conditionalFormatting sqref="F29:H29">
    <cfRule type="expression" priority="53" dxfId="50" stopIfTrue="1">
      <formula>OR(AND($U$28=1,$U$29=1),AND($U$29=1,$U$30=1))</formula>
    </cfRule>
  </conditionalFormatting>
  <conditionalFormatting sqref="F30:H30">
    <cfRule type="expression" priority="52" dxfId="50" stopIfTrue="1">
      <formula>OR(AND($U$28=1,$U$30=1),AND($U$29=1,$U$30=1),AND($U$30=1,$U$29=4))</formula>
    </cfRule>
  </conditionalFormatting>
  <conditionalFormatting sqref="J30:K30">
    <cfRule type="expression" priority="51" dxfId="50" stopIfTrue="1">
      <formula>OR(AND($U$28=2,$U$30=2),AND($U$29=2,$U$30=2),AND($U$30=2,$U$29=4))</formula>
    </cfRule>
  </conditionalFormatting>
  <conditionalFormatting sqref="J29:K29">
    <cfRule type="expression" priority="50" dxfId="55" stopIfTrue="1">
      <formula>OR(AND($U$28=2,$U$29=2),AND($U$29=2,$U$30=2))</formula>
    </cfRule>
  </conditionalFormatting>
  <conditionalFormatting sqref="J28:K28">
    <cfRule type="expression" priority="49" dxfId="50" stopIfTrue="1">
      <formula>OR(AND($U$28=2,$U$29=2),AND($U$28=2,$U$30=2))</formula>
    </cfRule>
  </conditionalFormatting>
  <conditionalFormatting sqref="M28">
    <cfRule type="expression" priority="48" dxfId="50" stopIfTrue="1">
      <formula>OR(AND($U$28=3,$U$29=3),AND($U$28=3,$U$30=3))</formula>
    </cfRule>
  </conditionalFormatting>
  <conditionalFormatting sqref="M29:N29">
    <cfRule type="expression" priority="47" dxfId="50" stopIfTrue="1">
      <formula>OR(AND($U$28=3,$U$29=3),AND($U$29=3,$U$30=3))</formula>
    </cfRule>
  </conditionalFormatting>
  <conditionalFormatting sqref="M30:N30">
    <cfRule type="expression" priority="46" dxfId="50" stopIfTrue="1">
      <formula>OR(AND($U$28=3,$U$30=3),AND($U$29=3,$U$30=3),AND($U$30=3,$U$29=4))</formula>
    </cfRule>
  </conditionalFormatting>
  <conditionalFormatting sqref="P29">
    <cfRule type="expression" priority="45" dxfId="50" stopIfTrue="1">
      <formula>AND($U$29=4,$U$30&lt;&gt;4)</formula>
    </cfRule>
  </conditionalFormatting>
  <conditionalFormatting sqref="B16:R16 B18:R22 B17:D17">
    <cfRule type="expression" priority="28" dxfId="4">
      <formula>전형구분선택번호&lt;&gt;4</formula>
    </cfRule>
  </conditionalFormatting>
  <conditionalFormatting sqref="F6:M6">
    <cfRule type="expression" priority="26" dxfId="33">
      <formula>$V$6=F6</formula>
    </cfRule>
  </conditionalFormatting>
  <conditionalFormatting sqref="D10:R10">
    <cfRule type="expression" priority="25" dxfId="33">
      <formula>$V$10=D10</formula>
    </cfRule>
  </conditionalFormatting>
  <conditionalFormatting sqref="D12:Q14">
    <cfRule type="expression" priority="24" dxfId="33">
      <formula>$W$12=D12</formula>
    </cfRule>
  </conditionalFormatting>
  <conditionalFormatting sqref="D16:R16">
    <cfRule type="expression" priority="18" dxfId="33">
      <formula>$U$16=1</formula>
    </cfRule>
  </conditionalFormatting>
  <conditionalFormatting sqref="D18:R18">
    <cfRule type="expression" priority="17" dxfId="33">
      <formula>$U$16=2</formula>
    </cfRule>
  </conditionalFormatting>
  <conditionalFormatting sqref="D19:R19">
    <cfRule type="expression" priority="16" dxfId="33">
      <formula>$U$16=3</formula>
    </cfRule>
  </conditionalFormatting>
  <conditionalFormatting sqref="D20:R20">
    <cfRule type="expression" priority="15" dxfId="33">
      <formula>$U$16=4</formula>
    </cfRule>
  </conditionalFormatting>
  <conditionalFormatting sqref="D21:R21">
    <cfRule type="expression" priority="14" dxfId="33">
      <formula>$U$16=5</formula>
    </cfRule>
  </conditionalFormatting>
  <conditionalFormatting sqref="J28:K30">
    <cfRule type="expression" priority="13" dxfId="33">
      <formula>$U28=2</formula>
    </cfRule>
  </conditionalFormatting>
  <conditionalFormatting sqref="F28:H30">
    <cfRule type="expression" priority="12" dxfId="33">
      <formula>$U28=1</formula>
    </cfRule>
  </conditionalFormatting>
  <conditionalFormatting sqref="M28:N30">
    <cfRule type="expression" priority="11" dxfId="33">
      <formula>$U28=3</formula>
    </cfRule>
  </conditionalFormatting>
  <conditionalFormatting sqref="C37:G37">
    <cfRule type="expression" priority="78" dxfId="37">
      <formula>AND($E$35="울산광역시",COUNTIF(중학교목록_울산,$C$37)=0)</formula>
    </cfRule>
  </conditionalFormatting>
  <conditionalFormatting sqref="B33">
    <cfRule type="expression" priority="6" dxfId="36">
      <formula>전형구분선택&lt;&gt;"특별전형"</formula>
    </cfRule>
  </conditionalFormatting>
  <conditionalFormatting sqref="C33:E33">
    <cfRule type="expression" priority="5" dxfId="35">
      <formula>전형구분선택&lt;&gt;"특별전형"</formula>
    </cfRule>
  </conditionalFormatting>
  <conditionalFormatting sqref="D22:R22">
    <cfRule type="expression" priority="2" dxfId="33">
      <formula>$U$16=6</formula>
    </cfRule>
  </conditionalFormatting>
  <conditionalFormatting sqref="D17:R17">
    <cfRule type="expression" priority="1" dxfId="33">
      <formula>OR($U$16=2,$U$16=3,$U$16=4)</formula>
    </cfRule>
  </conditionalFormatting>
  <dataValidations count="21">
    <dataValidation type="custom" allowBlank="1" showInputMessage="1" showErrorMessage="1" error="공백없이 입력합니다._x000a_'-'를 포함하여 입력합니다." sqref="M36:R36 C36:G36">
      <formula1>AND(LEN(C36)&gt;=8,LEN(C36)&lt;=13,ISNUMBER(FIND("-",C36)),ISERROR(FIND(" ",C36)))</formula1>
    </dataValidation>
    <dataValidation type="custom" allowBlank="1" showInputMessage="1" showErrorMessage="1" error="시, 군, 구를 포함,_x000a_공백없이 입력" sqref="J35">
      <formula1>AND(ISERROR(FIND(" ",학교시군구)),OR(RIGHT(학교시군구,1)="시",RIGHT(학교시군구,1)="군",RIGHT(학교시군구,1)="구"))</formula1>
    </dataValidation>
    <dataValidation type="list" allowBlank="1" showInputMessage="1" showErrorMessage="1" error="약식입력이 아니고 정확한 광역시.도를 입력하세요." sqref="E35">
      <formula1>광역시도표</formula1>
    </dataValidation>
    <dataValidation type="custom" allowBlank="1" showInputMessage="1" showErrorMessage="1" error="공백없이 입력합니다._x000a_새로운 우편번호를 입력하고,_x000a_이전 우편번호는 '-'를 포함하여 입력함." sqref="O24:R24">
      <formula1>AND(LEN(O24)&lt;=7,LEN(O24)&gt;=5,ISERROR(FIND(" ",O24)))</formula1>
    </dataValidation>
    <dataValidation type="list" allowBlank="1" showInputMessage="1" showErrorMessage="1" sqref="Q7:R7">
      <formula1>검정고시조견표년도</formula1>
    </dataValidation>
    <dataValidation type="list" allowBlank="1" showInputMessage="1" showErrorMessage="1" error="광역시도 이름을 목록에서 선택" sqref="E25:G25 P6:R6">
      <formula1>광역시도표</formula1>
    </dataValidation>
    <dataValidation type="custom" allowBlank="1" showInputMessage="1" showErrorMessage="1" error="날짜 형식으로 입력합니다._x000a_15/2/14,   15-2-14" sqref="G7:J7">
      <formula1>AND(G7&gt;=DATE(학년도-6,3,1),G7&lt;=DATE(학년도,2,28))</formula1>
    </dataValidation>
    <dataValidation type="decimal" allowBlank="1" showInputMessage="1" showErrorMessage="1" error="합격점수를 입력합니다._x000a_(60점~100점)" sqref="Q8:R8">
      <formula1>60</formula1>
      <formula2>100</formula2>
    </dataValidation>
    <dataValidation type="whole" allowBlank="1" showInputMessage="1" showErrorMessage="1" sqref="G8">
      <formula1>1</formula1>
      <formula2>20</formula2>
    </dataValidation>
    <dataValidation type="whole" allowBlank="1" showInputMessage="1" showErrorMessage="1" sqref="J8">
      <formula1>1</formula1>
      <formula2>50</formula2>
    </dataValidation>
    <dataValidation type="custom" allowBlank="1" showInputMessage="1" showErrorMessage="1" error="1. 공백입력은 안됨._x000a_2. &quot;OO중&quot;까지만 입력함._x000a_3. &quot;중학교&quot;라는 것은 입력 안함." sqref="C37:G37">
      <formula1>AND(ISERROR(FIND(" ",출신학교명)),NOT(OR(RIGHT(출신학교명,3)="중학교",RIGHT(출신학교명,2)="학교",RIGHT(출신학교명,2)="중학")))</formula1>
    </dataValidation>
    <dataValidation type="custom" allowBlank="1" showInputMessage="1" showErrorMessage="1" error="읍, 면, 동, 구, 로, 길 등을_x000a_포함하여 입력함" sqref="O35:R35">
      <formula1>AND(ISERROR(FIND(" ",학교읍면동)),OR(RIGHT(학교읍면동,1)="읍",RIGHT(학교읍면동,1)="면",RIGHT(학교읍면동,1)="동",RIGHT(학교읍면동,1)="구",RIGHT(학교읍면동,1)="로",RIGHT(학교읍면동,1)="길"))</formula1>
    </dataValidation>
    <dataValidation type="custom" allowBlank="1" showInputMessage="1" showErrorMessage="1" error="읍, 면, 동, 구, 로, 길 등을_x000a_포함하여 입력함" sqref="O25:R25">
      <formula1>AND(ISERROR(FIND(" ",학생읍면동)),OR(RIGHT(학생읍면동,1)="읍",RIGHT(학생읍면동,1)="면",RIGHT(학생읍면동,1)="동",RIGHT(학생읍면동,1)="구",RIGHT(학생읍면동,1)="로",RIGHT(학생읍면동,1)="길"))</formula1>
    </dataValidation>
    <dataValidation type="custom" allowBlank="1" showInputMessage="1" showErrorMessage="1" error="시, 군, 구를 포함._x000a_공백없이 입력" sqref="J25:L25">
      <formula1>AND(ISERROR(FIND(" ",학생시군구)),OR(RIGHT(학생시군구,1)="시",RIGHT(학생시군구,1)="군",RIGHT(학생시군구,1)="구"))</formula1>
    </dataValidation>
    <dataValidation type="custom" allowBlank="1" showInputMessage="1" showErrorMessage="1" error="공백없이 입력" sqref="C32:E32">
      <formula1>ISERROR(FIND(" ",보호자성명))</formula1>
    </dataValidation>
    <dataValidation type="custom" allowBlank="1" showInputMessage="1" showErrorMessage="1" error="공백없이 입력" sqref="J32:L32">
      <formula1>ISERROR(FIND(" ",보호자관계))</formula1>
    </dataValidation>
    <dataValidation type="custom" allowBlank="1" showInputMessage="1" showErrorMessage="1" error="공백없이 입력" sqref="C4:E4">
      <formula1>ISERROR(FIND(" ",학생성명))</formula1>
    </dataValidation>
    <dataValidation type="custom" allowBlank="1" showInputMessage="1" showErrorMessage="1" error="공백없이 입력을 합니다._x000a_'-'를 포함하여 입력합니다." sqref="I4:L4 O32:R32">
      <formula1>AND(LEN(I4)&gt;=8,LEN(I4)&lt;=13,ISNUMBER(FIND("-",I4)),ISERROR(FIND(" ",I4)))</formula1>
    </dataValidation>
    <dataValidation type="custom" allowBlank="1" showInputMessage="1" showErrorMessage="1" error="날짜 형식으로 입력합니다._x000a_14/10/27 또는 14-10-27_x000a_원서작성 학년도를 벗어나지 않는 날짜를 입력합니다." sqref="P4:R4">
      <formula1>AND(P4&gt;=DATE(학년도-1,3,1),P4&lt;=DATE(학년도,9,30))</formula1>
    </dataValidation>
    <dataValidation type="custom" showInputMessage="1" showErrorMessage="1" error="생년월일을 날짜형식으로 입력_x000a_1990.1.1. ~2005.12.31" sqref="C24:F24">
      <formula1>AND(C24&gt;=DATE(학년도-20,1,1),C24&lt;=DATE(학년도-13,12,31))</formula1>
    </dataValidation>
    <dataValidation type="custom" showInputMessage="1" showErrorMessage="1" error="공백없이 입력" sqref="C33:E33">
      <formula1>AND(C33&gt;=DATE(학년도-100,1,1),C33&lt;=DATE(학년도-13,12,31))</formula1>
    </dataValidation>
  </dataValidations>
  <printOptions horizontalCentered="1"/>
  <pageMargins left="0.3937007874015748" right="0.3937007874015748" top="0.7874015748031497" bottom="0.3937007874015748" header="0.11811023622047245" footer="0.31496062992125984"/>
  <pageSetup fitToHeight="0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81"/>
  <sheetViews>
    <sheetView showGridLines="0" view="pageBreakPreview" zoomScale="85" zoomScaleSheetLayoutView="85" workbookViewId="0" topLeftCell="A1">
      <selection activeCell="AZ15" sqref="AZ15"/>
    </sheetView>
  </sheetViews>
  <sheetFormatPr defaultColWidth="9.140625" defaultRowHeight="15"/>
  <cols>
    <col min="1" max="1" width="5.421875" style="21" customWidth="1"/>
    <col min="2" max="2" width="9.140625" style="21" customWidth="1"/>
    <col min="3" max="10" width="4.421875" style="21" customWidth="1"/>
    <col min="11" max="11" width="0.42578125" style="17" customWidth="1"/>
    <col min="12" max="17" width="7.8515625" style="17" customWidth="1"/>
    <col min="18" max="18" width="5.57421875" style="21" customWidth="1"/>
    <col min="19" max="19" width="8.00390625" style="21" hidden="1" customWidth="1"/>
    <col min="20" max="20" width="24.57421875" style="6" hidden="1" customWidth="1"/>
    <col min="21" max="28" width="4.57421875" style="6" hidden="1" customWidth="1"/>
    <col min="29" max="35" width="10.57421875" style="6" hidden="1" customWidth="1"/>
    <col min="36" max="36" width="3.140625" style="262" hidden="1" customWidth="1"/>
    <col min="37" max="37" width="10.57421875" style="6" hidden="1" customWidth="1"/>
    <col min="38" max="38" width="13.28125" style="6" hidden="1" customWidth="1"/>
    <col min="39" max="39" width="15.421875" style="6" hidden="1" customWidth="1"/>
    <col min="40" max="40" width="13.28125" style="6" hidden="1" customWidth="1"/>
    <col min="41" max="41" width="4.57421875" style="6" hidden="1" customWidth="1"/>
    <col min="42" max="42" width="9.7109375" style="6" hidden="1" customWidth="1"/>
    <col min="43" max="43" width="13.28125" style="6" hidden="1" customWidth="1"/>
    <col min="44" max="44" width="15.421875" style="6" hidden="1" customWidth="1"/>
    <col min="45" max="46" width="9.7109375" style="6" hidden="1" customWidth="1"/>
    <col min="47" max="47" width="4.57421875" style="6" hidden="1" customWidth="1"/>
    <col min="48" max="49" width="9.00390625" style="6" hidden="1" customWidth="1"/>
    <col min="50" max="50" width="11.28125" style="6" hidden="1" customWidth="1"/>
    <col min="51" max="51" width="9.00390625" style="6" hidden="1" customWidth="1"/>
    <col min="52" max="52" width="9.00390625" style="6" customWidth="1"/>
    <col min="53" max="53" width="9.00390625" style="615" customWidth="1"/>
    <col min="54" max="16384" width="9.00390625" style="21" customWidth="1"/>
  </cols>
  <sheetData>
    <row r="1" spans="1:43" ht="23.25" thickBot="1">
      <c r="A1" s="1064" t="str">
        <f>학년도&amp;"학년도"</f>
        <v>2020학년도</v>
      </c>
      <c r="B1" s="1064"/>
      <c r="C1" s="1064"/>
      <c r="D1" s="862" t="s">
        <v>694</v>
      </c>
      <c r="E1" s="862"/>
      <c r="F1" s="862"/>
      <c r="G1" s="862"/>
      <c r="H1" s="862"/>
      <c r="I1" s="862"/>
      <c r="J1" s="862"/>
      <c r="K1" s="862"/>
      <c r="L1" s="862"/>
      <c r="M1" s="863" t="s">
        <v>542</v>
      </c>
      <c r="N1" s="863"/>
      <c r="O1" s="863"/>
      <c r="P1" s="864" t="s">
        <v>972</v>
      </c>
      <c r="Q1" s="864"/>
      <c r="R1" s="303" t="s">
        <v>519</v>
      </c>
      <c r="S1" s="6"/>
      <c r="T1" s="620" t="s">
        <v>814</v>
      </c>
      <c r="U1" s="621"/>
      <c r="V1" s="621"/>
      <c r="W1" s="621"/>
      <c r="X1" s="621"/>
      <c r="Y1" s="621"/>
      <c r="Z1" s="621"/>
      <c r="AA1" s="621"/>
      <c r="AB1" s="621"/>
      <c r="AC1" s="621"/>
      <c r="AD1" s="622"/>
      <c r="AE1" s="623"/>
      <c r="AF1" s="623"/>
      <c r="AG1" s="623"/>
      <c r="AQ1" s="575"/>
    </row>
    <row r="2" spans="1:53" s="6" customFormat="1" ht="9.9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AJ2" s="262"/>
      <c r="BA2" s="615"/>
    </row>
    <row r="3" spans="1:53" s="32" customFormat="1" ht="35.1" customHeight="1" thickBot="1">
      <c r="A3" s="212" t="s">
        <v>286</v>
      </c>
      <c r="B3" s="1046" t="str">
        <f>IF(학생성명="","",학생성명&amp;"  (인)")</f>
        <v/>
      </c>
      <c r="C3" s="1047"/>
      <c r="D3" s="1043" t="str">
        <f>IF(학력선택번호=3,"",출신학교명&amp;"
 3학년-"&amp;삼학년_반&amp;"반-"&amp;삼학년_번호&amp;"번")</f>
        <v xml:space="preserve">
 3학년-반-번</v>
      </c>
      <c r="E3" s="1044"/>
      <c r="F3" s="1044"/>
      <c r="G3" s="1045"/>
      <c r="H3" s="1040" t="str">
        <f ca="1">IF(확인_울산지역,"울산지역","타지역")</f>
        <v>타지역</v>
      </c>
      <c r="I3" s="1041"/>
      <c r="J3" s="1042"/>
      <c r="K3" s="192"/>
      <c r="L3" s="1053" t="s">
        <v>81</v>
      </c>
      <c r="M3" s="1041"/>
      <c r="N3" s="1050" t="str">
        <f>학력선택&amp;" / "&amp;IF(전형구분선택="특별전형",전형구분선택&amp;"("&amp;특별전형구분선택&amp;")",IF(전형구분선택="특례입학전형",전형구분선택&amp;"("&amp;특례입학유형선택&amp;")",전형구분선택))</f>
        <v>졸업예정 / 특별전형()</v>
      </c>
      <c r="O3" s="1051"/>
      <c r="P3" s="1051"/>
      <c r="Q3" s="1052"/>
      <c r="R3" s="302" t="s">
        <v>518</v>
      </c>
      <c r="S3" s="216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  <c r="AT3" s="624"/>
      <c r="AU3" s="624"/>
      <c r="AV3" s="6"/>
      <c r="AW3" s="6"/>
      <c r="AX3" s="6"/>
      <c r="AY3" s="6"/>
      <c r="AZ3" s="6"/>
      <c r="BA3" s="616"/>
    </row>
    <row r="4" spans="1:53" s="6" customFormat="1" ht="5.1" customHeight="1" thickBot="1">
      <c r="A4" s="16"/>
      <c r="B4" s="16"/>
      <c r="C4" s="16"/>
      <c r="D4" s="16"/>
      <c r="E4" s="16"/>
      <c r="F4" s="16"/>
      <c r="G4" s="16"/>
      <c r="H4" s="16"/>
      <c r="I4" s="16"/>
      <c r="J4" s="33"/>
      <c r="K4" s="5"/>
      <c r="L4" s="5"/>
      <c r="M4" s="5"/>
      <c r="N4" s="5"/>
      <c r="O4" s="5"/>
      <c r="P4" s="5"/>
      <c r="Q4" s="5"/>
      <c r="AJ4" s="262"/>
      <c r="BA4" s="615"/>
    </row>
    <row r="5" spans="1:51" ht="30" customHeight="1" thickBot="1">
      <c r="A5" s="1013" t="s">
        <v>287</v>
      </c>
      <c r="B5" s="1015" t="s">
        <v>15</v>
      </c>
      <c r="C5" s="979" t="s">
        <v>414</v>
      </c>
      <c r="D5" s="882"/>
      <c r="E5" s="881" t="s">
        <v>415</v>
      </c>
      <c r="F5" s="882"/>
      <c r="G5" s="881" t="s">
        <v>416</v>
      </c>
      <c r="H5" s="882"/>
      <c r="I5" s="881" t="s">
        <v>417</v>
      </c>
      <c r="J5" s="1015"/>
      <c r="K5" s="5"/>
      <c r="L5" s="323" t="s">
        <v>335</v>
      </c>
      <c r="M5" s="324" t="s">
        <v>396</v>
      </c>
      <c r="N5" s="324" t="s">
        <v>819</v>
      </c>
      <c r="O5" s="324" t="s">
        <v>820</v>
      </c>
      <c r="P5" s="324" t="s">
        <v>821</v>
      </c>
      <c r="Q5" s="325" t="s">
        <v>822</v>
      </c>
      <c r="R5" s="6"/>
      <c r="T5" s="1026" t="s">
        <v>16</v>
      </c>
      <c r="U5" s="1030" t="s">
        <v>185</v>
      </c>
      <c r="V5" s="1017"/>
      <c r="W5" s="924" t="s">
        <v>418</v>
      </c>
      <c r="X5" s="1017"/>
      <c r="Y5" s="924" t="s">
        <v>187</v>
      </c>
      <c r="Z5" s="1017"/>
      <c r="AA5" s="924" t="s">
        <v>419</v>
      </c>
      <c r="AB5" s="925"/>
      <c r="AC5" s="922" t="s">
        <v>828</v>
      </c>
      <c r="AD5" s="923"/>
      <c r="AK5" s="921" t="s">
        <v>517</v>
      </c>
      <c r="AL5" s="921"/>
      <c r="AM5" s="921">
        <f>VALUE(학력선택번호&amp;전형구분선택번호)</f>
        <v>12</v>
      </c>
      <c r="AN5" s="921"/>
      <c r="AV5" s="570" t="s">
        <v>397</v>
      </c>
      <c r="AW5" s="576"/>
      <c r="AX5" s="576"/>
      <c r="AY5" s="577"/>
    </row>
    <row r="6" spans="1:51" ht="21.95" customHeight="1" thickBot="1">
      <c r="A6" s="1014"/>
      <c r="B6" s="1016"/>
      <c r="C6" s="1049" t="str">
        <f>IF(성적유무_21,"성적있음","성적없음")</f>
        <v>성적있음</v>
      </c>
      <c r="D6" s="1018"/>
      <c r="E6" s="1018" t="str">
        <f>IF(성적유무_22,"성적있음","성적없음")</f>
        <v>성적있음</v>
      </c>
      <c r="F6" s="1018"/>
      <c r="G6" s="1018" t="str">
        <f>IF(성적유무_31,"성적있음","성적없음")</f>
        <v>성적있음</v>
      </c>
      <c r="H6" s="1018"/>
      <c r="I6" s="1018" t="str">
        <f>IF(성적유무_32,"성적있음","성적없음")</f>
        <v>성적없음</v>
      </c>
      <c r="J6" s="1048"/>
      <c r="K6" s="5"/>
      <c r="L6" s="195" t="s">
        <v>17</v>
      </c>
      <c r="M6" s="190">
        <v>190</v>
      </c>
      <c r="N6" s="190"/>
      <c r="O6" s="190"/>
      <c r="P6" s="190"/>
      <c r="Q6" s="316"/>
      <c r="R6" s="6"/>
      <c r="S6" s="6"/>
      <c r="T6" s="1027"/>
      <c r="U6" s="1028" t="b">
        <v>1</v>
      </c>
      <c r="V6" s="1029"/>
      <c r="W6" s="941" t="b">
        <v>1</v>
      </c>
      <c r="X6" s="1029"/>
      <c r="Y6" s="941" t="b">
        <v>1</v>
      </c>
      <c r="Z6" s="1029"/>
      <c r="AA6" s="941" t="b">
        <v>0</v>
      </c>
      <c r="AB6" s="942"/>
      <c r="AC6" s="273" t="s">
        <v>54</v>
      </c>
      <c r="AD6" s="122" t="s">
        <v>50</v>
      </c>
      <c r="AJ6" s="118"/>
      <c r="AP6" s="928" t="s">
        <v>531</v>
      </c>
      <c r="AQ6" s="928"/>
      <c r="AR6" s="928"/>
      <c r="AS6" s="928"/>
      <c r="AT6" s="933" t="s">
        <v>538</v>
      </c>
      <c r="AV6" s="568"/>
      <c r="AW6" s="569" t="s">
        <v>398</v>
      </c>
      <c r="AX6" s="578" t="s">
        <v>508</v>
      </c>
      <c r="AY6" s="579"/>
    </row>
    <row r="7" spans="1:51" ht="18.6" customHeight="1">
      <c r="A7" s="191">
        <v>1</v>
      </c>
      <c r="B7" s="198" t="s">
        <v>11</v>
      </c>
      <c r="C7" s="838"/>
      <c r="D7" s="839"/>
      <c r="E7" s="837"/>
      <c r="F7" s="837"/>
      <c r="G7" s="837"/>
      <c r="H7" s="837"/>
      <c r="I7" s="837"/>
      <c r="J7" s="880"/>
      <c r="K7" s="5"/>
      <c r="L7" s="196" t="s">
        <v>18</v>
      </c>
      <c r="M7" s="52">
        <v>190</v>
      </c>
      <c r="N7" s="52"/>
      <c r="O7" s="52"/>
      <c r="P7" s="52"/>
      <c r="Q7" s="317"/>
      <c r="R7" s="6"/>
      <c r="S7" s="6"/>
      <c r="T7" s="34" t="str">
        <f aca="true" t="shared" si="0" ref="T7:T27">IF(B7="","",B7)</f>
        <v>국어</v>
      </c>
      <c r="U7" s="894" t="str">
        <f aca="true" t="shared" si="1" ref="U7:U27">IF(OR($B7="",성적유무_21=FALSE,학력선택="검정고시합격"),"",IF(C7="","미이수",VLOOKUP(C7,성취도표,2,FALSE)))</f>
        <v>미이수</v>
      </c>
      <c r="V7" s="895"/>
      <c r="W7" s="894" t="str">
        <f aca="true" t="shared" si="2" ref="W7:W27">IF(OR($B7="",성적유무_22=FALSE,학력선택="검정고시합격"),"",IF(E7="","미이수",VLOOKUP(E7,성취도표,2,FALSE)))</f>
        <v>미이수</v>
      </c>
      <c r="X7" s="895"/>
      <c r="Y7" s="894" t="str">
        <f aca="true" t="shared" si="3" ref="Y7:Y27">IF(OR($B7="",성적유무_31=FALSE,학력선택="검정고시합격"),"",IF(G7="","미이수",VLOOKUP(G7,성취도표,2,FALSE)))</f>
        <v>미이수</v>
      </c>
      <c r="Z7" s="895"/>
      <c r="AA7" s="894" t="str">
        <f aca="true" t="shared" si="4" ref="AA7:AA27">IF(OR($B7="",성적유무_32=FALSE,학력선택="검정고시합격",학력선택="졸업예정"),"",IF(I7="","미이수",VLOOKUP(I7,성취도표,2,FALSE)))</f>
        <v/>
      </c>
      <c r="AB7" s="895"/>
      <c r="AC7" s="50"/>
      <c r="AD7" s="51"/>
      <c r="AJ7" s="119"/>
      <c r="AK7" s="935" t="s">
        <v>753</v>
      </c>
      <c r="AL7" s="936"/>
      <c r="AM7" s="936"/>
      <c r="AN7" s="937"/>
      <c r="AP7" s="928"/>
      <c r="AQ7" s="928"/>
      <c r="AR7" s="928"/>
      <c r="AS7" s="928"/>
      <c r="AT7" s="933"/>
      <c r="AV7" s="559" t="s">
        <v>427</v>
      </c>
      <c r="AW7" s="580" t="str">
        <f>IF(OR(학력선택번호=3,전형구분선택번호=4),"ok",IF(수업일수_1학년&gt;=AX7,"ok","Error"))</f>
        <v>ok</v>
      </c>
      <c r="AX7" s="580">
        <v>185</v>
      </c>
      <c r="AY7" s="929" t="s">
        <v>516</v>
      </c>
    </row>
    <row r="8" spans="1:51" ht="18.6" customHeight="1">
      <c r="A8" s="191">
        <v>2</v>
      </c>
      <c r="B8" s="198" t="s">
        <v>12</v>
      </c>
      <c r="C8" s="838"/>
      <c r="D8" s="839"/>
      <c r="E8" s="837"/>
      <c r="F8" s="837"/>
      <c r="G8" s="837"/>
      <c r="H8" s="837"/>
      <c r="I8" s="837"/>
      <c r="J8" s="880"/>
      <c r="K8" s="5"/>
      <c r="L8" s="196" t="s">
        <v>19</v>
      </c>
      <c r="M8" s="52">
        <v>113</v>
      </c>
      <c r="N8" s="52"/>
      <c r="O8" s="52"/>
      <c r="P8" s="52"/>
      <c r="Q8" s="317"/>
      <c r="R8" s="6"/>
      <c r="S8" s="6"/>
      <c r="T8" s="35" t="str">
        <f t="shared" si="0"/>
        <v>도덕</v>
      </c>
      <c r="U8" s="894" t="str">
        <f t="shared" si="1"/>
        <v>미이수</v>
      </c>
      <c r="V8" s="895"/>
      <c r="W8" s="894" t="str">
        <f t="shared" si="2"/>
        <v>미이수</v>
      </c>
      <c r="X8" s="895"/>
      <c r="Y8" s="894" t="str">
        <f t="shared" si="3"/>
        <v>미이수</v>
      </c>
      <c r="Z8" s="895"/>
      <c r="AA8" s="894" t="str">
        <f t="shared" si="4"/>
        <v/>
      </c>
      <c r="AB8" s="895"/>
      <c r="AC8" s="53"/>
      <c r="AD8" s="54"/>
      <c r="AJ8" s="120"/>
      <c r="AK8" s="938"/>
      <c r="AL8" s="939"/>
      <c r="AM8" s="939"/>
      <c r="AN8" s="940"/>
      <c r="AP8" s="563" t="s">
        <v>532</v>
      </c>
      <c r="AQ8" s="563" t="s">
        <v>533</v>
      </c>
      <c r="AR8" s="563" t="s">
        <v>534</v>
      </c>
      <c r="AS8" s="563" t="s">
        <v>535</v>
      </c>
      <c r="AT8" s="933"/>
      <c r="AV8" s="560" t="s">
        <v>403</v>
      </c>
      <c r="AW8" s="67" t="str">
        <f>IF(OR(학력선택번호=3,전형구분선택번호=4),"ok",IF(수업일수_2학년&gt;=AX8,"ok","Error"))</f>
        <v>ok</v>
      </c>
      <c r="AX8" s="67">
        <v>185</v>
      </c>
      <c r="AY8" s="930"/>
    </row>
    <row r="9" spans="1:51" ht="18.6" customHeight="1" thickBot="1">
      <c r="A9" s="191">
        <v>3</v>
      </c>
      <c r="B9" s="198" t="s">
        <v>13</v>
      </c>
      <c r="C9" s="838"/>
      <c r="D9" s="839"/>
      <c r="E9" s="837"/>
      <c r="F9" s="837"/>
      <c r="G9" s="837"/>
      <c r="H9" s="837"/>
      <c r="I9" s="837"/>
      <c r="J9" s="880"/>
      <c r="K9" s="5"/>
      <c r="L9" s="197" t="s">
        <v>288</v>
      </c>
      <c r="M9" s="326" t="str">
        <f>IF(수업일수_오류확인="ok","","↑오류?")</f>
        <v/>
      </c>
      <c r="N9" s="461">
        <f>SUM(N6:N8)</f>
        <v>0</v>
      </c>
      <c r="O9" s="461">
        <f>SUM(O6:O8)</f>
        <v>0</v>
      </c>
      <c r="P9" s="461">
        <f>SUM(P6:P8)</f>
        <v>0</v>
      </c>
      <c r="Q9" s="462">
        <f>SUM(Q6:Q8)</f>
        <v>0</v>
      </c>
      <c r="R9" s="6"/>
      <c r="S9" s="5"/>
      <c r="T9" s="35" t="str">
        <f t="shared" si="0"/>
        <v>사회</v>
      </c>
      <c r="U9" s="894" t="str">
        <f t="shared" si="1"/>
        <v>미이수</v>
      </c>
      <c r="V9" s="895"/>
      <c r="W9" s="894" t="str">
        <f t="shared" si="2"/>
        <v>미이수</v>
      </c>
      <c r="X9" s="895"/>
      <c r="Y9" s="894" t="str">
        <f t="shared" si="3"/>
        <v>미이수</v>
      </c>
      <c r="Z9" s="895"/>
      <c r="AA9" s="894" t="str">
        <f t="shared" si="4"/>
        <v/>
      </c>
      <c r="AB9" s="895"/>
      <c r="AC9" s="53"/>
      <c r="AD9" s="54"/>
      <c r="AJ9" s="120"/>
      <c r="AK9" s="563" t="s">
        <v>17</v>
      </c>
      <c r="AL9" s="563" t="s">
        <v>18</v>
      </c>
      <c r="AM9" s="563" t="s">
        <v>19</v>
      </c>
      <c r="AN9" s="563" t="s">
        <v>20</v>
      </c>
      <c r="AP9" s="287">
        <f>미인정_결석</f>
        <v>0</v>
      </c>
      <c r="AQ9" s="454">
        <f>미인정_지각</f>
        <v>0</v>
      </c>
      <c r="AR9" s="455">
        <f>미인정_조퇴</f>
        <v>0</v>
      </c>
      <c r="AS9" s="456">
        <f>미인정_결과</f>
        <v>0</v>
      </c>
      <c r="AT9" s="305" t="str">
        <f>수업일수_오류확인</f>
        <v>ok</v>
      </c>
      <c r="AV9" s="560" t="s">
        <v>404</v>
      </c>
      <c r="AW9" s="67" t="str">
        <f>IF(OR(학력선택번호=3,전형구분선택번호=4),"ok",IF(AND(학력선택="졸업",수업일수_3학년&gt;=190),"ok",IF(AND(수업일수_3학년&gt;=AX9,학력선택="졸업예정"),"ok","Error")))</f>
        <v>ok</v>
      </c>
      <c r="AX9" s="271">
        <v>105</v>
      </c>
      <c r="AY9" s="931"/>
    </row>
    <row r="10" spans="1:51" ht="18.6" customHeight="1" thickBot="1">
      <c r="A10" s="191">
        <v>4</v>
      </c>
      <c r="B10" s="198" t="s">
        <v>49</v>
      </c>
      <c r="C10" s="838"/>
      <c r="D10" s="839"/>
      <c r="E10" s="837"/>
      <c r="F10" s="837"/>
      <c r="G10" s="837"/>
      <c r="H10" s="837"/>
      <c r="I10" s="837"/>
      <c r="J10" s="880"/>
      <c r="K10" s="5"/>
      <c r="L10" s="1019" t="str">
        <f>IF(수업일수_오류확인="ok","","학년별 수업일수 확인.
졸업예정자는 9월30일까지 생기부 반영해야 함.")</f>
        <v/>
      </c>
      <c r="M10" s="1019"/>
      <c r="N10" s="1019"/>
      <c r="O10" s="1019"/>
      <c r="P10" s="1019"/>
      <c r="Q10" s="1019"/>
      <c r="R10" s="6"/>
      <c r="S10" s="6"/>
      <c r="T10" s="35" t="str">
        <f t="shared" si="0"/>
        <v>역사</v>
      </c>
      <c r="U10" s="894" t="str">
        <f t="shared" si="1"/>
        <v>미이수</v>
      </c>
      <c r="V10" s="895"/>
      <c r="W10" s="894" t="str">
        <f t="shared" si="2"/>
        <v>미이수</v>
      </c>
      <c r="X10" s="895"/>
      <c r="Y10" s="894" t="str">
        <f t="shared" si="3"/>
        <v>미이수</v>
      </c>
      <c r="Z10" s="895"/>
      <c r="AA10" s="894" t="str">
        <f t="shared" si="4"/>
        <v/>
      </c>
      <c r="AB10" s="895"/>
      <c r="AC10" s="53"/>
      <c r="AD10" s="54"/>
      <c r="AF10" s="932" t="s">
        <v>202</v>
      </c>
      <c r="AG10" s="932"/>
      <c r="AH10" s="932"/>
      <c r="AI10" s="932"/>
      <c r="AJ10" s="121"/>
      <c r="AK10" s="287">
        <f>봉사활동입력_1학년</f>
        <v>0</v>
      </c>
      <c r="AL10" s="287">
        <f>봉사활동입력_2학년</f>
        <v>0</v>
      </c>
      <c r="AM10" s="287">
        <f>봉사활동입력_3학년</f>
        <v>0</v>
      </c>
      <c r="AN10" s="301">
        <f>봉사활동입력_합계</f>
        <v>0</v>
      </c>
      <c r="AP10" s="921" t="s">
        <v>517</v>
      </c>
      <c r="AQ10" s="934"/>
      <c r="AR10" s="564">
        <f>학력_전형구분_코드</f>
        <v>12</v>
      </c>
      <c r="AS10" s="457" t="s">
        <v>676</v>
      </c>
      <c r="AT10" s="458">
        <f>환산결석일수</f>
        <v>0</v>
      </c>
      <c r="AV10" s="299" t="s">
        <v>400</v>
      </c>
      <c r="AW10" s="300" t="str">
        <f>IF(AND(AW7="ok",AW8="ok",AW9="ok"),"ok","Error")</f>
        <v>ok</v>
      </c>
      <c r="AX10" s="581"/>
      <c r="AY10" s="582"/>
    </row>
    <row r="11" spans="1:48" ht="18.6" customHeight="1" thickBot="1">
      <c r="A11" s="191">
        <v>5</v>
      </c>
      <c r="B11" s="198" t="s">
        <v>426</v>
      </c>
      <c r="C11" s="838"/>
      <c r="D11" s="839"/>
      <c r="E11" s="837"/>
      <c r="F11" s="837"/>
      <c r="G11" s="837"/>
      <c r="H11" s="837"/>
      <c r="I11" s="837"/>
      <c r="J11" s="880"/>
      <c r="K11" s="5"/>
      <c r="L11" s="1020"/>
      <c r="M11" s="1020"/>
      <c r="N11" s="1020"/>
      <c r="O11" s="1020"/>
      <c r="P11" s="1020"/>
      <c r="Q11" s="1020"/>
      <c r="R11" s="5"/>
      <c r="S11" s="5"/>
      <c r="T11" s="35" t="str">
        <f t="shared" si="0"/>
        <v>수학</v>
      </c>
      <c r="U11" s="894" t="str">
        <f t="shared" si="1"/>
        <v>미이수</v>
      </c>
      <c r="V11" s="895"/>
      <c r="W11" s="894" t="str">
        <f t="shared" si="2"/>
        <v>미이수</v>
      </c>
      <c r="X11" s="895"/>
      <c r="Y11" s="894" t="str">
        <f t="shared" si="3"/>
        <v>미이수</v>
      </c>
      <c r="Z11" s="895"/>
      <c r="AA11" s="894" t="str">
        <f t="shared" si="4"/>
        <v/>
      </c>
      <c r="AB11" s="895"/>
      <c r="AC11" s="55" t="str">
        <f>IF(COUNT(U11:Z11)=0,"",AVERAGE(U11:Z11))</f>
        <v/>
      </c>
      <c r="AD11" s="56" t="str">
        <f>IF(COUNT(U11:AB11)=0,"",AVERAGE(U11:AB11))</f>
        <v/>
      </c>
      <c r="AF11" s="896"/>
      <c r="AG11" s="897"/>
      <c r="AH11" s="583" t="s">
        <v>197</v>
      </c>
      <c r="AI11" s="583" t="s">
        <v>198</v>
      </c>
      <c r="AJ11" s="121"/>
      <c r="AV11" s="270" t="s">
        <v>399</v>
      </c>
    </row>
    <row r="12" spans="1:46" ht="18.6" customHeight="1" thickBot="1">
      <c r="A12" s="191">
        <v>6</v>
      </c>
      <c r="B12" s="198" t="s">
        <v>14</v>
      </c>
      <c r="C12" s="838"/>
      <c r="D12" s="839"/>
      <c r="E12" s="837"/>
      <c r="F12" s="837"/>
      <c r="G12" s="837"/>
      <c r="H12" s="837"/>
      <c r="I12" s="837"/>
      <c r="J12" s="880"/>
      <c r="K12" s="5"/>
      <c r="L12" s="1021" t="s">
        <v>339</v>
      </c>
      <c r="M12" s="1022"/>
      <c r="N12" s="1022"/>
      <c r="O12" s="1023"/>
      <c r="P12" s="1024">
        <f>IF(학력선택번호=3,"",IF(수업일수_오류확인="ok",미인정_결석+ROUNDDOWN((미인정_지각+미인정_조퇴+미인정_결과)/3,0),"수업일수 확인요망"))</f>
        <v>0</v>
      </c>
      <c r="Q12" s="1025"/>
      <c r="R12" s="6"/>
      <c r="S12" s="6"/>
      <c r="T12" s="35" t="str">
        <f t="shared" si="0"/>
        <v>과학</v>
      </c>
      <c r="U12" s="894" t="str">
        <f t="shared" si="1"/>
        <v>미이수</v>
      </c>
      <c r="V12" s="895"/>
      <c r="W12" s="894" t="str">
        <f t="shared" si="2"/>
        <v>미이수</v>
      </c>
      <c r="X12" s="895"/>
      <c r="Y12" s="894" t="str">
        <f t="shared" si="3"/>
        <v>미이수</v>
      </c>
      <c r="Z12" s="895"/>
      <c r="AA12" s="894" t="str">
        <f t="shared" si="4"/>
        <v/>
      </c>
      <c r="AB12" s="895"/>
      <c r="AC12" s="57"/>
      <c r="AD12" s="58"/>
      <c r="AF12" s="896" t="s">
        <v>199</v>
      </c>
      <c r="AG12" s="897"/>
      <c r="AH12" s="584" t="str">
        <f>IF(OR(AC11="",학력선택="검정고시합격"),"",AC11)</f>
        <v/>
      </c>
      <c r="AI12" s="584" t="str">
        <f>IF(OR(AD11="",학력선택="검정고시합격"),"",AD11)</f>
        <v/>
      </c>
      <c r="AJ12" s="121"/>
      <c r="AK12" s="567" t="s">
        <v>520</v>
      </c>
      <c r="AL12" s="567" t="s">
        <v>521</v>
      </c>
      <c r="AM12" s="567" t="s">
        <v>522</v>
      </c>
      <c r="AN12" s="567" t="s">
        <v>530</v>
      </c>
      <c r="AP12" s="567" t="s">
        <v>520</v>
      </c>
      <c r="AQ12" s="567" t="s">
        <v>521</v>
      </c>
      <c r="AR12" s="567" t="s">
        <v>522</v>
      </c>
      <c r="AS12" s="567" t="s">
        <v>536</v>
      </c>
      <c r="AT12" s="567" t="s">
        <v>816</v>
      </c>
    </row>
    <row r="13" spans="1:46" ht="18.6" customHeight="1" thickBot="1">
      <c r="A13" s="191">
        <v>7</v>
      </c>
      <c r="B13" s="198" t="s">
        <v>666</v>
      </c>
      <c r="C13" s="840"/>
      <c r="D13" s="837"/>
      <c r="E13" s="837"/>
      <c r="F13" s="837"/>
      <c r="G13" s="837"/>
      <c r="H13" s="837"/>
      <c r="I13" s="837"/>
      <c r="J13" s="880"/>
      <c r="K13" s="5"/>
      <c r="L13" s="307"/>
      <c r="M13" s="308"/>
      <c r="N13" s="309"/>
      <c r="O13" s="309"/>
      <c r="P13" s="309"/>
      <c r="Q13" s="310"/>
      <c r="R13" s="6"/>
      <c r="S13" s="6"/>
      <c r="T13" s="35" t="str">
        <f t="shared" si="0"/>
        <v>기술·가정</v>
      </c>
      <c r="U13" s="894" t="str">
        <f t="shared" si="1"/>
        <v>미이수</v>
      </c>
      <c r="V13" s="895"/>
      <c r="W13" s="894" t="str">
        <f t="shared" si="2"/>
        <v>미이수</v>
      </c>
      <c r="X13" s="895"/>
      <c r="Y13" s="894" t="str">
        <f t="shared" si="3"/>
        <v>미이수</v>
      </c>
      <c r="Z13" s="895"/>
      <c r="AA13" s="894" t="str">
        <f t="shared" si="4"/>
        <v/>
      </c>
      <c r="AB13" s="895"/>
      <c r="AC13" s="55" t="str">
        <f aca="true" t="shared" si="5" ref="AC13:AC14">IF(COUNT(U13:Z13)=0,"",AVERAGE(U13:Z13))</f>
        <v/>
      </c>
      <c r="AD13" s="56" t="str">
        <f aca="true" t="shared" si="6" ref="AD13:AD14">IF(COUNT(U13:AB13)=0,"",AVERAGE(U13:AB13))</f>
        <v/>
      </c>
      <c r="AF13" s="896" t="s">
        <v>200</v>
      </c>
      <c r="AG13" s="897"/>
      <c r="AH13" s="123" t="str">
        <f>IF(학력선택="검정고시합격","",IF(AND(AC13="",AC11&lt;&gt;"",AC14&lt;&gt;""),"미이수",AC13))</f>
        <v/>
      </c>
      <c r="AI13" s="123" t="str">
        <f>IF(학력선택="검정고시합격","",IF(AND(AD13="",AD11&lt;&gt;"",AD14&lt;&gt;""),"미이수",AD13))</f>
        <v/>
      </c>
      <c r="AK13" s="585">
        <v>11</v>
      </c>
      <c r="AL13" s="585" t="s">
        <v>523</v>
      </c>
      <c r="AM13" s="586" t="s">
        <v>526</v>
      </c>
      <c r="AN13" s="304">
        <f>_xlfn.IFERROR(VLOOKUP(봉사활동입력_합계,봉사활동_졸업예정자,2,TRUE),"")</f>
        <v>20</v>
      </c>
      <c r="AP13" s="585">
        <v>11</v>
      </c>
      <c r="AQ13" s="585" t="s">
        <v>523</v>
      </c>
      <c r="AR13" s="586" t="s">
        <v>526</v>
      </c>
      <c r="AS13" s="304">
        <f>_xlfn.IFERROR(ROUND(IF((AT13-4*환산결석일수)&lt;=0,0,(AT13-4*환산결석일수)),2),".")</f>
        <v>60</v>
      </c>
      <c r="AT13" s="304">
        <v>60</v>
      </c>
    </row>
    <row r="14" spans="1:46" ht="18.6" customHeight="1">
      <c r="A14" s="191">
        <v>8</v>
      </c>
      <c r="B14" s="198" t="s">
        <v>21</v>
      </c>
      <c r="C14" s="840"/>
      <c r="D14" s="837"/>
      <c r="E14" s="837"/>
      <c r="F14" s="837"/>
      <c r="G14" s="837"/>
      <c r="H14" s="837"/>
      <c r="I14" s="837"/>
      <c r="J14" s="880"/>
      <c r="K14" s="443" t="s">
        <v>668</v>
      </c>
      <c r="L14" s="865" t="s">
        <v>539</v>
      </c>
      <c r="M14" s="315" t="s">
        <v>520</v>
      </c>
      <c r="N14" s="286" t="s">
        <v>540</v>
      </c>
      <c r="O14" s="286" t="s">
        <v>541</v>
      </c>
      <c r="P14" s="286" t="s">
        <v>537</v>
      </c>
      <c r="Q14" s="285" t="s">
        <v>529</v>
      </c>
      <c r="R14" s="6"/>
      <c r="S14" s="6"/>
      <c r="T14" s="35" t="str">
        <f t="shared" si="0"/>
        <v>영어</v>
      </c>
      <c r="U14" s="894" t="str">
        <f t="shared" si="1"/>
        <v>미이수</v>
      </c>
      <c r="V14" s="895"/>
      <c r="W14" s="894" t="str">
        <f t="shared" si="2"/>
        <v>미이수</v>
      </c>
      <c r="X14" s="895"/>
      <c r="Y14" s="894" t="str">
        <f t="shared" si="3"/>
        <v>미이수</v>
      </c>
      <c r="Z14" s="895"/>
      <c r="AA14" s="894" t="str">
        <f t="shared" si="4"/>
        <v/>
      </c>
      <c r="AB14" s="895"/>
      <c r="AC14" s="55" t="str">
        <f t="shared" si="5"/>
        <v/>
      </c>
      <c r="AD14" s="56" t="str">
        <f t="shared" si="6"/>
        <v/>
      </c>
      <c r="AF14" s="896" t="s">
        <v>201</v>
      </c>
      <c r="AG14" s="897"/>
      <c r="AH14" s="584" t="str">
        <f>IF(OR(AC14="",학력선택="검정고시합격"),"",AC14)</f>
        <v/>
      </c>
      <c r="AI14" s="584" t="str">
        <f>IF(OR(AD14="",학력선택="검정고시합격"),"",AD14)</f>
        <v/>
      </c>
      <c r="AJ14" s="259"/>
      <c r="AK14" s="585">
        <v>12</v>
      </c>
      <c r="AL14" s="585" t="s">
        <v>523</v>
      </c>
      <c r="AM14" s="586" t="s">
        <v>764</v>
      </c>
      <c r="AN14" s="587">
        <f>AN$13</f>
        <v>20</v>
      </c>
      <c r="AP14" s="585">
        <v>12</v>
      </c>
      <c r="AQ14" s="585" t="s">
        <v>523</v>
      </c>
      <c r="AR14" s="586" t="s">
        <v>765</v>
      </c>
      <c r="AS14" s="304">
        <f>_xlfn.IFERROR(ROUND(IF((AT14-8*환산결석일수)&lt;=0,0,(AT14-8*환산결석일수)),2),".")</f>
        <v>120</v>
      </c>
      <c r="AT14" s="304">
        <v>120</v>
      </c>
    </row>
    <row r="15" spans="1:46" ht="18.6" customHeight="1">
      <c r="A15" s="191">
        <v>9</v>
      </c>
      <c r="B15" s="199" t="s">
        <v>158</v>
      </c>
      <c r="C15" s="840"/>
      <c r="D15" s="837"/>
      <c r="E15" s="837"/>
      <c r="F15" s="837"/>
      <c r="G15" s="837"/>
      <c r="H15" s="837"/>
      <c r="I15" s="837"/>
      <c r="J15" s="880"/>
      <c r="K15" s="5"/>
      <c r="L15" s="866"/>
      <c r="M15" s="868">
        <f>VALUE(학력선택번호&amp;"1")</f>
        <v>11</v>
      </c>
      <c r="N15" s="870" t="str">
        <f>_xlfn.IFERROR(VLOOKUP($M15,출결점수표,2,FALSE),".")</f>
        <v>졸업예정</v>
      </c>
      <c r="O15" s="870" t="str">
        <f>_xlfn.IFERROR(VLOOKUP($M15,출결점수표,3,FALSE),".")</f>
        <v>일반전형</v>
      </c>
      <c r="P15" s="872">
        <f>_xlfn.IFERROR(VLOOKUP($M15,출결점수표,5,FALSE),".")</f>
        <v>60</v>
      </c>
      <c r="Q15" s="874">
        <f>_xlfn.IFERROR(IF(AND(수업일수_오류확인="ok",과목수확인="Yes"),VLOOKUP($M15,출결점수표,4,FALSE),"."),".")</f>
        <v>60</v>
      </c>
      <c r="R15" s="5"/>
      <c r="S15" s="5"/>
      <c r="T15" s="35" t="str">
        <f t="shared" si="0"/>
        <v>중국어</v>
      </c>
      <c r="U15" s="894" t="str">
        <f t="shared" si="1"/>
        <v>미이수</v>
      </c>
      <c r="V15" s="895"/>
      <c r="W15" s="894" t="str">
        <f t="shared" si="2"/>
        <v>미이수</v>
      </c>
      <c r="X15" s="895"/>
      <c r="Y15" s="894" t="str">
        <f t="shared" si="3"/>
        <v>미이수</v>
      </c>
      <c r="Z15" s="895"/>
      <c r="AA15" s="894" t="str">
        <f t="shared" si="4"/>
        <v/>
      </c>
      <c r="AB15" s="895"/>
      <c r="AC15" s="53"/>
      <c r="AD15" s="54"/>
      <c r="AJ15" s="259"/>
      <c r="AK15" s="585">
        <v>13</v>
      </c>
      <c r="AL15" s="585" t="s">
        <v>523</v>
      </c>
      <c r="AM15" s="586" t="s">
        <v>527</v>
      </c>
      <c r="AN15" s="587">
        <f>AN$13</f>
        <v>20</v>
      </c>
      <c r="AP15" s="585">
        <v>13</v>
      </c>
      <c r="AQ15" s="585" t="s">
        <v>523</v>
      </c>
      <c r="AR15" s="586" t="s">
        <v>527</v>
      </c>
      <c r="AS15" s="587">
        <f>AS$14</f>
        <v>120</v>
      </c>
      <c r="AT15" s="587">
        <f>AT14</f>
        <v>120</v>
      </c>
    </row>
    <row r="16" spans="1:46" ht="18.6" customHeight="1">
      <c r="A16" s="191">
        <v>10</v>
      </c>
      <c r="B16" s="199" t="s">
        <v>159</v>
      </c>
      <c r="C16" s="840"/>
      <c r="D16" s="837"/>
      <c r="E16" s="837"/>
      <c r="F16" s="837"/>
      <c r="G16" s="837"/>
      <c r="H16" s="837"/>
      <c r="I16" s="837"/>
      <c r="J16" s="880"/>
      <c r="K16" s="5"/>
      <c r="L16" s="866"/>
      <c r="M16" s="869"/>
      <c r="N16" s="871"/>
      <c r="O16" s="871"/>
      <c r="P16" s="873"/>
      <c r="Q16" s="875"/>
      <c r="R16" s="5"/>
      <c r="S16" s="5"/>
      <c r="T16" s="36" t="str">
        <f t="shared" si="0"/>
        <v>독일어</v>
      </c>
      <c r="U16" s="894" t="str">
        <f t="shared" si="1"/>
        <v>미이수</v>
      </c>
      <c r="V16" s="895"/>
      <c r="W16" s="894" t="str">
        <f t="shared" si="2"/>
        <v>미이수</v>
      </c>
      <c r="X16" s="895"/>
      <c r="Y16" s="894" t="str">
        <f t="shared" si="3"/>
        <v>미이수</v>
      </c>
      <c r="Z16" s="895"/>
      <c r="AA16" s="894" t="str">
        <f t="shared" si="4"/>
        <v/>
      </c>
      <c r="AB16" s="895"/>
      <c r="AC16" s="53"/>
      <c r="AD16" s="54"/>
      <c r="AF16" s="932" t="s">
        <v>203</v>
      </c>
      <c r="AG16" s="932"/>
      <c r="AH16" s="932"/>
      <c r="AI16" s="932"/>
      <c r="AJ16" s="259"/>
      <c r="AK16" s="585">
        <v>14</v>
      </c>
      <c r="AL16" s="585" t="s">
        <v>523</v>
      </c>
      <c r="AM16" s="586" t="s">
        <v>528</v>
      </c>
      <c r="AN16" s="587">
        <f>AN$13</f>
        <v>20</v>
      </c>
      <c r="AP16" s="585">
        <v>14</v>
      </c>
      <c r="AQ16" s="585" t="s">
        <v>523</v>
      </c>
      <c r="AR16" s="586" t="s">
        <v>528</v>
      </c>
      <c r="AS16" s="587">
        <f>AS$14</f>
        <v>120</v>
      </c>
      <c r="AT16" s="587">
        <f>AT14</f>
        <v>120</v>
      </c>
    </row>
    <row r="17" spans="1:46" ht="18.6" customHeight="1">
      <c r="A17" s="191">
        <v>11</v>
      </c>
      <c r="B17" s="199" t="s">
        <v>160</v>
      </c>
      <c r="C17" s="840"/>
      <c r="D17" s="837"/>
      <c r="E17" s="837"/>
      <c r="F17" s="837"/>
      <c r="G17" s="837"/>
      <c r="H17" s="837"/>
      <c r="I17" s="837"/>
      <c r="J17" s="880"/>
      <c r="K17" s="5"/>
      <c r="L17" s="866"/>
      <c r="M17" s="868">
        <f>IF(OR(전형구분선택="",전형구분선택="일반전형"),".",학력_전형구분_코드)</f>
        <v>12</v>
      </c>
      <c r="N17" s="870" t="str">
        <f>_xlfn.IFERROR(VLOOKUP($M17,출결점수표,2,FALSE),".")</f>
        <v>졸업예정</v>
      </c>
      <c r="O17" s="870" t="str">
        <f>_xlfn.IFERROR(VLOOKUP($M17,출결점수표,3,FALSE),".")</f>
        <v>특별전형</v>
      </c>
      <c r="P17" s="872">
        <f>_xlfn.IFERROR(VLOOKUP($M17,출결점수표,5,FALSE),".")</f>
        <v>120</v>
      </c>
      <c r="Q17" s="874">
        <f>_xlfn.IFERROR(IF(AND(수업일수_오류확인="ok",과목수확인="Yes"),VLOOKUP($M17,출결점수표,4,FALSE),"."),".")</f>
        <v>120</v>
      </c>
      <c r="R17" s="5"/>
      <c r="S17" s="5"/>
      <c r="T17" s="37" t="str">
        <f t="shared" si="0"/>
        <v>일본어</v>
      </c>
      <c r="U17" s="894" t="str">
        <f t="shared" si="1"/>
        <v>미이수</v>
      </c>
      <c r="V17" s="895"/>
      <c r="W17" s="894" t="str">
        <f t="shared" si="2"/>
        <v>미이수</v>
      </c>
      <c r="X17" s="895"/>
      <c r="Y17" s="894" t="str">
        <f t="shared" si="3"/>
        <v>미이수</v>
      </c>
      <c r="Z17" s="895"/>
      <c r="AA17" s="894" t="str">
        <f t="shared" si="4"/>
        <v/>
      </c>
      <c r="AB17" s="895"/>
      <c r="AC17" s="53"/>
      <c r="AD17" s="54"/>
      <c r="AF17" s="926"/>
      <c r="AG17" s="927"/>
      <c r="AH17" s="583" t="s">
        <v>197</v>
      </c>
      <c r="AI17" s="583" t="s">
        <v>198</v>
      </c>
      <c r="AJ17" s="260"/>
      <c r="AK17" s="585">
        <v>15</v>
      </c>
      <c r="AL17" s="585"/>
      <c r="AM17" s="586"/>
      <c r="AN17" s="587"/>
      <c r="AP17" s="585">
        <v>15</v>
      </c>
      <c r="AQ17" s="585"/>
      <c r="AR17" s="586"/>
      <c r="AS17" s="587"/>
      <c r="AT17" s="587"/>
    </row>
    <row r="18" spans="1:46" ht="18.6" customHeight="1" thickBot="1">
      <c r="A18" s="191">
        <v>12</v>
      </c>
      <c r="B18" s="199" t="s">
        <v>161</v>
      </c>
      <c r="C18" s="840"/>
      <c r="D18" s="837"/>
      <c r="E18" s="837"/>
      <c r="F18" s="837"/>
      <c r="G18" s="837"/>
      <c r="H18" s="837"/>
      <c r="I18" s="837"/>
      <c r="J18" s="880"/>
      <c r="K18" s="5"/>
      <c r="L18" s="867"/>
      <c r="M18" s="876"/>
      <c r="N18" s="877"/>
      <c r="O18" s="877"/>
      <c r="P18" s="878"/>
      <c r="Q18" s="879"/>
      <c r="R18" s="5"/>
      <c r="S18" s="5"/>
      <c r="T18" s="37" t="str">
        <f t="shared" si="0"/>
        <v>한문</v>
      </c>
      <c r="U18" s="894" t="str">
        <f t="shared" si="1"/>
        <v>미이수</v>
      </c>
      <c r="V18" s="895"/>
      <c r="W18" s="894" t="str">
        <f t="shared" si="2"/>
        <v>미이수</v>
      </c>
      <c r="X18" s="895"/>
      <c r="Y18" s="894" t="str">
        <f t="shared" si="3"/>
        <v>미이수</v>
      </c>
      <c r="Z18" s="895"/>
      <c r="AA18" s="894" t="str">
        <f t="shared" si="4"/>
        <v/>
      </c>
      <c r="AB18" s="895"/>
      <c r="AC18" s="53"/>
      <c r="AD18" s="54"/>
      <c r="AF18" s="896" t="s">
        <v>199</v>
      </c>
      <c r="AG18" s="897"/>
      <c r="AH18" s="124" t="str">
        <f>IF(OR(과목수확인&lt;&gt;"Yes",가중치_수학성취도_졸업예정=""),"",IF(가중치_기가성취도_졸업예정="미이수",ROUND((가중치_수학배점+가중치_기가배점/2)*(가중치_수학성취도_졸업예정/5),2),ROUND(가중치_수학배점*(가중치_수학성취도_졸업예정/5),2)))</f>
        <v/>
      </c>
      <c r="AI18" s="124" t="str">
        <f>IF(OR(과목수확인&lt;&gt;"Yes",가중치_수학성취도_졸업=""),"",IF(가중치_기가성취도_졸업="미이수",ROUND((가중치_수학배점+가중치_기가배점/2)*(가중치_수학성취도_졸업/5),2),ROUND(가중치_수학배점*(가중치_수학성취도_졸업/5),2)))</f>
        <v/>
      </c>
      <c r="AJ18" s="588"/>
      <c r="AK18" s="585">
        <v>21</v>
      </c>
      <c r="AL18" s="585" t="s">
        <v>524</v>
      </c>
      <c r="AM18" s="586" t="s">
        <v>526</v>
      </c>
      <c r="AN18" s="304">
        <f>_xlfn.IFERROR(VLOOKUP(봉사활동입력_합계,봉사활동_졸업자,2,TRUE),"")</f>
        <v>20</v>
      </c>
      <c r="AP18" s="585">
        <v>21</v>
      </c>
      <c r="AQ18" s="585" t="s">
        <v>524</v>
      </c>
      <c r="AR18" s="586" t="s">
        <v>526</v>
      </c>
      <c r="AS18" s="304">
        <f>_xlfn.IFERROR(ROUND(IF((AT18-4*환산결석일수*31/36)&lt;=0,0,(AT18-4*환산결석일수*31/36)),2),".")</f>
        <v>60</v>
      </c>
      <c r="AT18" s="304">
        <v>60</v>
      </c>
    </row>
    <row r="19" spans="1:46" ht="18.6" customHeight="1" thickBot="1">
      <c r="A19" s="191">
        <v>13</v>
      </c>
      <c r="B19" s="199" t="s">
        <v>163</v>
      </c>
      <c r="C19" s="840"/>
      <c r="D19" s="837"/>
      <c r="E19" s="837"/>
      <c r="F19" s="837"/>
      <c r="G19" s="837"/>
      <c r="H19" s="837"/>
      <c r="I19" s="837"/>
      <c r="J19" s="880"/>
      <c r="K19" s="5"/>
      <c r="L19" s="314"/>
      <c r="M19" s="311"/>
      <c r="N19" s="312"/>
      <c r="O19" s="312"/>
      <c r="P19" s="312"/>
      <c r="Q19" s="313"/>
      <c r="R19" s="5"/>
      <c r="S19" s="5"/>
      <c r="T19" s="37" t="str">
        <f t="shared" si="0"/>
        <v>컴퓨터</v>
      </c>
      <c r="U19" s="894" t="str">
        <f t="shared" si="1"/>
        <v>미이수</v>
      </c>
      <c r="V19" s="895"/>
      <c r="W19" s="894" t="str">
        <f t="shared" si="2"/>
        <v>미이수</v>
      </c>
      <c r="X19" s="895"/>
      <c r="Y19" s="894" t="str">
        <f t="shared" si="3"/>
        <v>미이수</v>
      </c>
      <c r="Z19" s="895"/>
      <c r="AA19" s="894" t="str">
        <f t="shared" si="4"/>
        <v/>
      </c>
      <c r="AB19" s="895"/>
      <c r="AC19" s="53"/>
      <c r="AD19" s="54"/>
      <c r="AF19" s="896" t="s">
        <v>200</v>
      </c>
      <c r="AG19" s="897"/>
      <c r="AH19" s="123" t="str">
        <f>IF(OR(과목수확인&lt;&gt;"Yes",가중치_기가성취도_졸업예정=""),"",IF(가중치_기가성취도_졸업예정="미이수","미이수",ROUND(AE62*(가중치_기가성취도_졸업예정/5),2)))</f>
        <v/>
      </c>
      <c r="AI19" s="123" t="str">
        <f>IF(OR(과목수확인&lt;&gt;"Yes",가중치_기가성취도_졸업=""),"",IF(가중치_기가성취도_졸업="미이수","미이수",ROUND(AE62*(가중치_기가성취도_졸업/5),2)))</f>
        <v/>
      </c>
      <c r="AJ19" s="589"/>
      <c r="AK19" s="585">
        <v>22</v>
      </c>
      <c r="AL19" s="585" t="s">
        <v>524</v>
      </c>
      <c r="AM19" s="586" t="s">
        <v>766</v>
      </c>
      <c r="AN19" s="587">
        <f>AN$18</f>
        <v>20</v>
      </c>
      <c r="AP19" s="585">
        <v>22</v>
      </c>
      <c r="AQ19" s="585" t="s">
        <v>524</v>
      </c>
      <c r="AR19" s="586" t="s">
        <v>765</v>
      </c>
      <c r="AS19" s="304">
        <f>_xlfn.IFERROR(ROUND(IF((AT19-8*환산결석일수*31/36)&lt;=0,0,(AT19-8*환산결석일수*31/36)),2),".")</f>
        <v>120</v>
      </c>
      <c r="AT19" s="304">
        <v>120</v>
      </c>
    </row>
    <row r="20" spans="1:53" s="25" customFormat="1" ht="18.6" customHeight="1">
      <c r="A20" s="191">
        <v>14</v>
      </c>
      <c r="B20" s="199" t="s">
        <v>162</v>
      </c>
      <c r="C20" s="840"/>
      <c r="D20" s="837"/>
      <c r="E20" s="837"/>
      <c r="F20" s="837"/>
      <c r="G20" s="837"/>
      <c r="H20" s="837"/>
      <c r="I20" s="837"/>
      <c r="J20" s="880"/>
      <c r="K20" s="49"/>
      <c r="L20" s="1035" t="s">
        <v>754</v>
      </c>
      <c r="M20" s="1036"/>
      <c r="N20" s="1036"/>
      <c r="O20" s="1036"/>
      <c r="P20" s="1036"/>
      <c r="Q20" s="1037"/>
      <c r="R20" s="49"/>
      <c r="S20" s="49"/>
      <c r="T20" s="37" t="str">
        <f t="shared" si="0"/>
        <v>체육</v>
      </c>
      <c r="U20" s="894" t="str">
        <f t="shared" si="1"/>
        <v>미이수</v>
      </c>
      <c r="V20" s="895"/>
      <c r="W20" s="894" t="str">
        <f t="shared" si="2"/>
        <v>미이수</v>
      </c>
      <c r="X20" s="895"/>
      <c r="Y20" s="894" t="str">
        <f t="shared" si="3"/>
        <v>미이수</v>
      </c>
      <c r="Z20" s="895"/>
      <c r="AA20" s="894" t="str">
        <f t="shared" si="4"/>
        <v/>
      </c>
      <c r="AB20" s="895"/>
      <c r="AC20" s="53"/>
      <c r="AD20" s="54"/>
      <c r="AE20" s="590"/>
      <c r="AF20" s="896" t="s">
        <v>201</v>
      </c>
      <c r="AG20" s="897"/>
      <c r="AH20" s="124" t="str">
        <f>IF(OR(과목수확인&lt;&gt;"Yes",가중치_영어성취도_졸업예정=""),"",IF(가중치_기가성취도_졸업예정="미이수",ROUND((가중치_영어배점+가중치_기가배점/2)*(가중치_영어성취도_졸업예정/5),2),ROUND(가중치_영어배점*(가중치_영어성취도_졸업예정/5),2)))</f>
        <v/>
      </c>
      <c r="AI20" s="124" t="str">
        <f>IF(OR(과목수확인&lt;&gt;"Yes",가중치_영어성취도_졸업=""),"",IF(가중치_기가성취도_졸업="미이수",ROUND((가중치_영어배점+가중치_기가배점/2)*(가중치_영어성취도_졸업/5),2),ROUND(가중치_영어배점*(가중치_영어성취도_졸업/5),2)))</f>
        <v/>
      </c>
      <c r="AJ20" s="259"/>
      <c r="AK20" s="585">
        <v>23</v>
      </c>
      <c r="AL20" s="585" t="s">
        <v>524</v>
      </c>
      <c r="AM20" s="586" t="s">
        <v>527</v>
      </c>
      <c r="AN20" s="587">
        <f>AN$18</f>
        <v>20</v>
      </c>
      <c r="AO20" s="590"/>
      <c r="AP20" s="585">
        <v>23</v>
      </c>
      <c r="AQ20" s="585" t="s">
        <v>524</v>
      </c>
      <c r="AR20" s="586" t="s">
        <v>527</v>
      </c>
      <c r="AS20" s="587">
        <f>AS$14</f>
        <v>120</v>
      </c>
      <c r="AT20" s="587">
        <f>AT19</f>
        <v>120</v>
      </c>
      <c r="AU20" s="590"/>
      <c r="AV20" s="590"/>
      <c r="AW20" s="590"/>
      <c r="AX20" s="590"/>
      <c r="AY20" s="590"/>
      <c r="AZ20" s="590"/>
      <c r="BA20" s="617"/>
    </row>
    <row r="21" spans="1:53" s="25" customFormat="1" ht="18.6" customHeight="1">
      <c r="A21" s="191">
        <v>15</v>
      </c>
      <c r="B21" s="198" t="s">
        <v>559</v>
      </c>
      <c r="C21" s="840"/>
      <c r="D21" s="837"/>
      <c r="E21" s="837"/>
      <c r="F21" s="837"/>
      <c r="G21" s="837"/>
      <c r="H21" s="837"/>
      <c r="I21" s="837"/>
      <c r="J21" s="880"/>
      <c r="K21" s="49"/>
      <c r="L21" s="210" t="s">
        <v>336</v>
      </c>
      <c r="M21" s="284" t="s">
        <v>17</v>
      </c>
      <c r="N21" s="284" t="s">
        <v>334</v>
      </c>
      <c r="O21" s="284" t="s">
        <v>19</v>
      </c>
      <c r="P21" s="284" t="s">
        <v>288</v>
      </c>
      <c r="Q21" s="470" t="s">
        <v>755</v>
      </c>
      <c r="R21" s="49"/>
      <c r="S21" s="49"/>
      <c r="T21" s="37" t="str">
        <f t="shared" si="0"/>
        <v>미술</v>
      </c>
      <c r="U21" s="894" t="str">
        <f t="shared" si="1"/>
        <v>미이수</v>
      </c>
      <c r="V21" s="895"/>
      <c r="W21" s="894" t="str">
        <f t="shared" si="2"/>
        <v>미이수</v>
      </c>
      <c r="X21" s="895"/>
      <c r="Y21" s="894" t="str">
        <f t="shared" si="3"/>
        <v>미이수</v>
      </c>
      <c r="Z21" s="895"/>
      <c r="AA21" s="894" t="str">
        <f t="shared" si="4"/>
        <v/>
      </c>
      <c r="AB21" s="895"/>
      <c r="AC21" s="53"/>
      <c r="AD21" s="54"/>
      <c r="AE21" s="590"/>
      <c r="AF21" s="896" t="s">
        <v>204</v>
      </c>
      <c r="AG21" s="897"/>
      <c r="AH21" s="124" t="str">
        <f>IF(SUM(AH18:AH20)=0,"",SUM(AH18:AH20))</f>
        <v/>
      </c>
      <c r="AI21" s="124" t="str">
        <f>IF(SUM(AI18:AI20)=0,"",SUM(AI18:AI20))</f>
        <v/>
      </c>
      <c r="AJ21" s="591"/>
      <c r="AK21" s="585">
        <v>24</v>
      </c>
      <c r="AL21" s="585" t="s">
        <v>524</v>
      </c>
      <c r="AM21" s="586" t="s">
        <v>528</v>
      </c>
      <c r="AN21" s="587">
        <f>AN$18</f>
        <v>20</v>
      </c>
      <c r="AO21" s="590"/>
      <c r="AP21" s="585">
        <v>24</v>
      </c>
      <c r="AQ21" s="585" t="s">
        <v>524</v>
      </c>
      <c r="AR21" s="586" t="s">
        <v>528</v>
      </c>
      <c r="AS21" s="587">
        <f>AS$14</f>
        <v>120</v>
      </c>
      <c r="AT21" s="587">
        <f>AT19</f>
        <v>120</v>
      </c>
      <c r="AU21" s="590"/>
      <c r="AV21" s="590"/>
      <c r="AW21" s="590"/>
      <c r="AX21" s="590"/>
      <c r="AY21" s="590"/>
      <c r="AZ21" s="590"/>
      <c r="BA21" s="617"/>
    </row>
    <row r="22" spans="1:46" ht="18.6" customHeight="1">
      <c r="A22" s="191">
        <v>16</v>
      </c>
      <c r="B22" s="198" t="s">
        <v>561</v>
      </c>
      <c r="C22" s="840"/>
      <c r="D22" s="837"/>
      <c r="E22" s="837"/>
      <c r="F22" s="837"/>
      <c r="G22" s="837"/>
      <c r="H22" s="837"/>
      <c r="I22" s="837"/>
      <c r="J22" s="880"/>
      <c r="K22" s="5"/>
      <c r="L22" s="866" t="s">
        <v>337</v>
      </c>
      <c r="M22" s="1038"/>
      <c r="N22" s="1038"/>
      <c r="O22" s="1038"/>
      <c r="P22" s="1033">
        <f>IF(COUNT(M22:O23)&gt;0,SUM(M22:O23),0)</f>
        <v>0</v>
      </c>
      <c r="Q22" s="1031">
        <f>_xlfn.IFERROR(IF(과목수확인="Yes",VLOOKUP(학력_전형구분_코드,봉사활동점수표,4,FALSE),"."),".")</f>
        <v>20</v>
      </c>
      <c r="R22" s="5"/>
      <c r="S22" s="5"/>
      <c r="T22" s="37" t="str">
        <f t="shared" si="0"/>
        <v>음악</v>
      </c>
      <c r="U22" s="894" t="str">
        <f t="shared" si="1"/>
        <v>미이수</v>
      </c>
      <c r="V22" s="895"/>
      <c r="W22" s="894" t="str">
        <f t="shared" si="2"/>
        <v>미이수</v>
      </c>
      <c r="X22" s="895"/>
      <c r="Y22" s="894" t="str">
        <f t="shared" si="3"/>
        <v>미이수</v>
      </c>
      <c r="Z22" s="895"/>
      <c r="AA22" s="894" t="str">
        <f t="shared" si="4"/>
        <v/>
      </c>
      <c r="AB22" s="895"/>
      <c r="AC22" s="53"/>
      <c r="AD22" s="54"/>
      <c r="AJ22" s="261"/>
      <c r="AK22" s="585">
        <v>25</v>
      </c>
      <c r="AL22" s="592"/>
      <c r="AM22" s="586"/>
      <c r="AN22" s="587"/>
      <c r="AP22" s="585">
        <v>25</v>
      </c>
      <c r="AQ22" s="592"/>
      <c r="AR22" s="586"/>
      <c r="AS22" s="587"/>
      <c r="AT22" s="587"/>
    </row>
    <row r="23" spans="1:46" ht="18.6" customHeight="1" thickBot="1">
      <c r="A23" s="191">
        <v>17</v>
      </c>
      <c r="B23" s="200" t="s">
        <v>889</v>
      </c>
      <c r="C23" s="840"/>
      <c r="D23" s="837"/>
      <c r="E23" s="837"/>
      <c r="F23" s="837"/>
      <c r="G23" s="837"/>
      <c r="H23" s="837"/>
      <c r="I23" s="837"/>
      <c r="J23" s="880"/>
      <c r="K23" s="5"/>
      <c r="L23" s="867"/>
      <c r="M23" s="1039"/>
      <c r="N23" s="1039"/>
      <c r="O23" s="1039"/>
      <c r="P23" s="1034"/>
      <c r="Q23" s="1032"/>
      <c r="R23" s="5"/>
      <c r="S23" s="5"/>
      <c r="T23" s="37" t="str">
        <f t="shared" si="0"/>
        <v>선택1</v>
      </c>
      <c r="U23" s="894" t="str">
        <f t="shared" si="1"/>
        <v>미이수</v>
      </c>
      <c r="V23" s="895"/>
      <c r="W23" s="894" t="str">
        <f t="shared" si="2"/>
        <v>미이수</v>
      </c>
      <c r="X23" s="895"/>
      <c r="Y23" s="894" t="str">
        <f t="shared" si="3"/>
        <v>미이수</v>
      </c>
      <c r="Z23" s="895"/>
      <c r="AA23" s="894" t="str">
        <f t="shared" si="4"/>
        <v/>
      </c>
      <c r="AB23" s="895"/>
      <c r="AC23" s="53"/>
      <c r="AD23" s="54"/>
      <c r="AF23" s="590"/>
      <c r="AG23" s="590"/>
      <c r="AH23" s="590"/>
      <c r="AI23" s="590"/>
      <c r="AJ23" s="260"/>
      <c r="AK23" s="592">
        <v>31</v>
      </c>
      <c r="AL23" s="592" t="s">
        <v>525</v>
      </c>
      <c r="AM23" s="586" t="s">
        <v>526</v>
      </c>
      <c r="AN23" s="304" t="str">
        <f>IF(검정고시_석차백분율="","",IF(ROUND(40*(100-검정고시_석차백분율)/100,2)&lt;=20,20,ROUND(40*(100-검정고시_석차백분율)/100,2)))</f>
        <v/>
      </c>
      <c r="AP23" s="592">
        <v>31</v>
      </c>
      <c r="AQ23" s="592" t="s">
        <v>525</v>
      </c>
      <c r="AR23" s="586" t="s">
        <v>526</v>
      </c>
      <c r="AS23" s="304" t="str">
        <f>IF(검정고시_석차백분율="",".",ROUND(AT23*(100-검정고시_석차백분율)/100,2))</f>
        <v>.</v>
      </c>
      <c r="AT23" s="304">
        <v>60</v>
      </c>
    </row>
    <row r="24" spans="1:53" s="25" customFormat="1" ht="18.6" customHeight="1" thickBot="1">
      <c r="A24" s="191">
        <v>18</v>
      </c>
      <c r="B24" s="200" t="s">
        <v>890</v>
      </c>
      <c r="C24" s="840"/>
      <c r="D24" s="837"/>
      <c r="E24" s="837"/>
      <c r="F24" s="837"/>
      <c r="G24" s="837"/>
      <c r="H24" s="837"/>
      <c r="I24" s="837"/>
      <c r="J24" s="880"/>
      <c r="K24" s="49"/>
      <c r="R24" s="49"/>
      <c r="S24" s="49"/>
      <c r="T24" s="37" t="str">
        <f t="shared" si="0"/>
        <v>선택2</v>
      </c>
      <c r="U24" s="894" t="str">
        <f t="shared" si="1"/>
        <v>미이수</v>
      </c>
      <c r="V24" s="895"/>
      <c r="W24" s="894" t="str">
        <f t="shared" si="2"/>
        <v>미이수</v>
      </c>
      <c r="X24" s="895"/>
      <c r="Y24" s="894" t="str">
        <f t="shared" si="3"/>
        <v>미이수</v>
      </c>
      <c r="Z24" s="895"/>
      <c r="AA24" s="894" t="str">
        <f t="shared" si="4"/>
        <v/>
      </c>
      <c r="AB24" s="895"/>
      <c r="AC24" s="53"/>
      <c r="AD24" s="54"/>
      <c r="AE24" s="590"/>
      <c r="AF24" s="590"/>
      <c r="AG24" s="590"/>
      <c r="AH24" s="590"/>
      <c r="AI24" s="590"/>
      <c r="AJ24" s="261"/>
      <c r="AK24" s="585">
        <v>32</v>
      </c>
      <c r="AL24" s="585" t="s">
        <v>525</v>
      </c>
      <c r="AM24" s="586" t="s">
        <v>765</v>
      </c>
      <c r="AN24" s="587" t="str">
        <f>AN$23</f>
        <v/>
      </c>
      <c r="AO24" s="590"/>
      <c r="AP24" s="585">
        <v>32</v>
      </c>
      <c r="AQ24" s="585" t="s">
        <v>525</v>
      </c>
      <c r="AR24" s="586" t="s">
        <v>765</v>
      </c>
      <c r="AS24" s="304" t="str">
        <f>IF(검정고시_석차백분율="",".",ROUND(AT24*(100-검정고시_석차백분율)/100,2))</f>
        <v>.</v>
      </c>
      <c r="AT24" s="304">
        <v>120</v>
      </c>
      <c r="AU24" s="590"/>
      <c r="AV24" s="590"/>
      <c r="AW24" s="590"/>
      <c r="AX24" s="590"/>
      <c r="AY24" s="590"/>
      <c r="AZ24" s="590"/>
      <c r="BA24" s="617"/>
    </row>
    <row r="25" spans="1:46" ht="18.6" customHeight="1">
      <c r="A25" s="191">
        <v>19</v>
      </c>
      <c r="B25" s="200" t="s">
        <v>891</v>
      </c>
      <c r="C25" s="840"/>
      <c r="D25" s="837"/>
      <c r="E25" s="837"/>
      <c r="F25" s="837"/>
      <c r="G25" s="837"/>
      <c r="H25" s="837"/>
      <c r="I25" s="837"/>
      <c r="J25" s="880"/>
      <c r="K25" s="5"/>
      <c r="L25" s="979" t="s">
        <v>684</v>
      </c>
      <c r="M25" s="982"/>
      <c r="N25" s="986" t="s">
        <v>768</v>
      </c>
      <c r="O25" s="986" t="s">
        <v>338</v>
      </c>
      <c r="P25" s="986" t="s">
        <v>769</v>
      </c>
      <c r="Q25" s="984" t="s">
        <v>770</v>
      </c>
      <c r="R25" s="5"/>
      <c r="S25" s="5"/>
      <c r="T25" s="37" t="str">
        <f t="shared" si="0"/>
        <v>선택3</v>
      </c>
      <c r="U25" s="894" t="str">
        <f t="shared" si="1"/>
        <v>미이수</v>
      </c>
      <c r="V25" s="895"/>
      <c r="W25" s="894" t="str">
        <f t="shared" si="2"/>
        <v>미이수</v>
      </c>
      <c r="X25" s="895"/>
      <c r="Y25" s="894" t="str">
        <f t="shared" si="3"/>
        <v>미이수</v>
      </c>
      <c r="Z25" s="895"/>
      <c r="AA25" s="894" t="str">
        <f t="shared" si="4"/>
        <v/>
      </c>
      <c r="AB25" s="895"/>
      <c r="AC25" s="53"/>
      <c r="AD25" s="54"/>
      <c r="AJ25" s="261"/>
      <c r="AK25" s="592">
        <v>33</v>
      </c>
      <c r="AL25" s="585" t="s">
        <v>525</v>
      </c>
      <c r="AM25" s="586" t="s">
        <v>527</v>
      </c>
      <c r="AN25" s="587" t="str">
        <f>AN$23</f>
        <v/>
      </c>
      <c r="AP25" s="592">
        <v>33</v>
      </c>
      <c r="AQ25" s="585" t="s">
        <v>525</v>
      </c>
      <c r="AR25" s="586" t="s">
        <v>527</v>
      </c>
      <c r="AS25" s="587" t="str">
        <f>AS$24</f>
        <v>.</v>
      </c>
      <c r="AT25" s="587">
        <f>AT24</f>
        <v>120</v>
      </c>
    </row>
    <row r="26" spans="1:53" s="25" customFormat="1" ht="18.6" customHeight="1">
      <c r="A26" s="191">
        <v>20</v>
      </c>
      <c r="B26" s="200" t="s">
        <v>892</v>
      </c>
      <c r="C26" s="840"/>
      <c r="D26" s="837"/>
      <c r="E26" s="837"/>
      <c r="F26" s="837"/>
      <c r="G26" s="837"/>
      <c r="H26" s="837"/>
      <c r="I26" s="837"/>
      <c r="J26" s="880"/>
      <c r="K26" s="49"/>
      <c r="L26" s="980"/>
      <c r="M26" s="983"/>
      <c r="N26" s="987"/>
      <c r="O26" s="987"/>
      <c r="P26" s="987"/>
      <c r="Q26" s="985"/>
      <c r="R26" s="49"/>
      <c r="S26" s="49"/>
      <c r="T26" s="37" t="str">
        <f t="shared" si="0"/>
        <v>선택4</v>
      </c>
      <c r="U26" s="894" t="str">
        <f t="shared" si="1"/>
        <v>미이수</v>
      </c>
      <c r="V26" s="895"/>
      <c r="W26" s="894" t="str">
        <f t="shared" si="2"/>
        <v>미이수</v>
      </c>
      <c r="X26" s="895"/>
      <c r="Y26" s="894" t="str">
        <f t="shared" si="3"/>
        <v>미이수</v>
      </c>
      <c r="Z26" s="895"/>
      <c r="AA26" s="894" t="str">
        <f t="shared" si="4"/>
        <v/>
      </c>
      <c r="AB26" s="895"/>
      <c r="AC26" s="53"/>
      <c r="AD26" s="54"/>
      <c r="AE26" s="590"/>
      <c r="AF26" s="590"/>
      <c r="AG26" s="590"/>
      <c r="AH26" s="590"/>
      <c r="AI26" s="590"/>
      <c r="AJ26" s="589"/>
      <c r="AK26" s="585">
        <v>34</v>
      </c>
      <c r="AL26" s="592" t="s">
        <v>525</v>
      </c>
      <c r="AM26" s="586" t="s">
        <v>528</v>
      </c>
      <c r="AN26" s="587" t="str">
        <f>AN$23</f>
        <v/>
      </c>
      <c r="AO26" s="590"/>
      <c r="AP26" s="585">
        <v>34</v>
      </c>
      <c r="AQ26" s="592" t="s">
        <v>525</v>
      </c>
      <c r="AR26" s="586" t="s">
        <v>528</v>
      </c>
      <c r="AS26" s="587" t="str">
        <f>AS$24</f>
        <v>.</v>
      </c>
      <c r="AT26" s="587">
        <f>AT24</f>
        <v>120</v>
      </c>
      <c r="AU26" s="590"/>
      <c r="AV26" s="590"/>
      <c r="AW26" s="590"/>
      <c r="AX26" s="590"/>
      <c r="AY26" s="590"/>
      <c r="AZ26" s="590"/>
      <c r="BA26" s="617"/>
    </row>
    <row r="27" spans="1:53" s="25" customFormat="1" ht="18.6" customHeight="1">
      <c r="A27" s="191">
        <v>24</v>
      </c>
      <c r="B27" s="200" t="s">
        <v>893</v>
      </c>
      <c r="C27" s="840"/>
      <c r="D27" s="837"/>
      <c r="E27" s="837"/>
      <c r="F27" s="837"/>
      <c r="G27" s="837"/>
      <c r="H27" s="837"/>
      <c r="I27" s="837"/>
      <c r="J27" s="880"/>
      <c r="K27" s="49"/>
      <c r="L27" s="980"/>
      <c r="M27" s="284" t="s">
        <v>513</v>
      </c>
      <c r="N27" s="319" t="str">
        <f>IF(과목수확인&lt;&gt;"Yes",".",IF(학력선택="졸업예정",가중치_수학성취도_졸업예정,IF(학력선택="졸업",가중치_수학성취도_졸업,".")))</f>
        <v/>
      </c>
      <c r="O27" s="319" t="str">
        <f>IF(과목수확인&lt;&gt;"Yes",".",IF(학력선택="졸업예정",가중치_기가성취도_졸업예정,IF(학력선택="졸업",가중치_기가성취도_졸업,".")))</f>
        <v/>
      </c>
      <c r="P27" s="319" t="str">
        <f>IF(과목수확인&lt;&gt;"Yes",".",IF(학력선택="졸업예정",가중치_영어성취도_졸업예정,IF(학력선택="졸업",가중치_영어성취도_졸업,".")))</f>
        <v/>
      </c>
      <c r="Q27" s="320"/>
      <c r="R27" s="49"/>
      <c r="S27" s="49"/>
      <c r="T27" s="37" t="str">
        <f t="shared" si="0"/>
        <v>선택5</v>
      </c>
      <c r="U27" s="894" t="str">
        <f t="shared" si="1"/>
        <v>미이수</v>
      </c>
      <c r="V27" s="895"/>
      <c r="W27" s="894" t="str">
        <f t="shared" si="2"/>
        <v>미이수</v>
      </c>
      <c r="X27" s="895"/>
      <c r="Y27" s="894" t="str">
        <f t="shared" si="3"/>
        <v>미이수</v>
      </c>
      <c r="Z27" s="895"/>
      <c r="AA27" s="894" t="str">
        <f t="shared" si="4"/>
        <v/>
      </c>
      <c r="AB27" s="895"/>
      <c r="AC27" s="53"/>
      <c r="AD27" s="54"/>
      <c r="AE27" s="590"/>
      <c r="AF27" s="590"/>
      <c r="AG27" s="590"/>
      <c r="AH27" s="590"/>
      <c r="AI27" s="590"/>
      <c r="AJ27" s="589"/>
      <c r="AK27" s="592">
        <v>35</v>
      </c>
      <c r="AL27" s="585"/>
      <c r="AM27" s="586"/>
      <c r="AN27" s="585"/>
      <c r="AO27" s="590"/>
      <c r="AP27" s="592">
        <v>35</v>
      </c>
      <c r="AQ27" s="585"/>
      <c r="AR27" s="586"/>
      <c r="AS27" s="306"/>
      <c r="AT27" s="593"/>
      <c r="AU27" s="590"/>
      <c r="AV27" s="590"/>
      <c r="AW27" s="590"/>
      <c r="AX27" s="590"/>
      <c r="AY27" s="590"/>
      <c r="AZ27" s="590"/>
      <c r="BA27" s="617"/>
    </row>
    <row r="28" spans="1:46" ht="18.6" customHeight="1" thickBot="1">
      <c r="A28" s="435">
        <v>25</v>
      </c>
      <c r="B28" s="436" t="s">
        <v>894</v>
      </c>
      <c r="C28" s="854"/>
      <c r="D28" s="855"/>
      <c r="E28" s="855"/>
      <c r="F28" s="855"/>
      <c r="G28" s="855"/>
      <c r="H28" s="855"/>
      <c r="I28" s="855"/>
      <c r="J28" s="978"/>
      <c r="K28" s="5"/>
      <c r="L28" s="981"/>
      <c r="M28" s="298" t="s">
        <v>512</v>
      </c>
      <c r="N28" s="321" t="str">
        <f>IF(과목수확인&lt;&gt;"Yes",".",IF(AND(학력선택="졸업예정",가중치_수학_졸업예정&lt;&gt;""),가중치_수학_졸업예정,IF(AND(학력선택="졸업",가중치_수학_졸업&lt;&gt;""),가중치_수학_졸업,".")))</f>
        <v>.</v>
      </c>
      <c r="O28" s="321" t="str">
        <f>IF(과목수확인&lt;&gt;"Yes",".",IF(AND(학력선택="졸업예정",가중치_기가_졸업예정&lt;&gt;""),가중치_기가_졸업예정,IF(AND(학력선택="졸업",가중치_기가_졸업&lt;&gt;""),가중치_기가_졸업,".")))</f>
        <v>.</v>
      </c>
      <c r="P28" s="321" t="str">
        <f>IF(과목수확인&lt;&gt;"Yes",".",IF(AND(학력선택="졸업예정",가중치_영어_졸업예정&lt;&gt;""),가중치_영어_졸업예정,IF(AND(학력선택="졸업",가중치_영어_졸업&lt;&gt;""),가중치_영어_졸업,".")))</f>
        <v>.</v>
      </c>
      <c r="Q28" s="322" t="str">
        <f>IF(OR(과목수확인&lt;&gt;"Yes",SUM(N28:P28)=0),".",SUM(N28:P28))</f>
        <v>.</v>
      </c>
      <c r="R28" s="5"/>
      <c r="S28" s="5"/>
      <c r="T28" s="439" t="str">
        <f aca="true" t="shared" si="7" ref="T28">IF(B28="","",B28)</f>
        <v>선택6</v>
      </c>
      <c r="U28" s="899" t="str">
        <f aca="true" t="shared" si="8" ref="U28">IF(OR($B28="",성적유무_21=FALSE,학력선택="검정고시합격"),"",IF(C28="","미이수",VLOOKUP(C28,성취도표,2,FALSE)))</f>
        <v>미이수</v>
      </c>
      <c r="V28" s="900"/>
      <c r="W28" s="899" t="str">
        <f aca="true" t="shared" si="9" ref="W28">IF(OR($B28="",성적유무_22=FALSE,학력선택="검정고시합격"),"",IF(E28="","미이수",VLOOKUP(E28,성취도표,2,FALSE)))</f>
        <v>미이수</v>
      </c>
      <c r="X28" s="900"/>
      <c r="Y28" s="899" t="str">
        <f aca="true" t="shared" si="10" ref="Y28">IF(OR($B28="",성적유무_31=FALSE,학력선택="검정고시합격"),"",IF(G28="","미이수",VLOOKUP(G28,성취도표,2,FALSE)))</f>
        <v>미이수</v>
      </c>
      <c r="Z28" s="900"/>
      <c r="AA28" s="899" t="str">
        <f aca="true" t="shared" si="11" ref="AA28">IF(OR($B28="",성적유무_32=FALSE,학력선택="검정고시합격",학력선택="졸업예정"),"",IF(I28="","미이수",VLOOKUP(I28,성취도표,2,FALSE)))</f>
        <v/>
      </c>
      <c r="AB28" s="900"/>
      <c r="AC28" s="440"/>
      <c r="AD28" s="441"/>
      <c r="AK28" s="594"/>
      <c r="AL28" s="594"/>
      <c r="AM28" s="594"/>
      <c r="AN28" s="558"/>
      <c r="AP28" s="590"/>
      <c r="AQ28" s="590"/>
      <c r="AR28" s="590"/>
      <c r="AS28" s="590"/>
      <c r="AT28" s="590"/>
    </row>
    <row r="29" spans="1:40" ht="9.95" customHeight="1" thickBot="1">
      <c r="A29" s="471"/>
      <c r="B29" s="472"/>
      <c r="C29" s="553"/>
      <c r="D29" s="553"/>
      <c r="E29" s="553"/>
      <c r="F29" s="553"/>
      <c r="G29" s="475"/>
      <c r="H29" s="475"/>
      <c r="I29" s="475"/>
      <c r="J29" s="475"/>
      <c r="K29" s="476"/>
      <c r="L29" s="476"/>
      <c r="R29" s="5"/>
      <c r="S29" s="5"/>
      <c r="T29" s="437"/>
      <c r="U29" s="914"/>
      <c r="V29" s="914"/>
      <c r="W29" s="914"/>
      <c r="X29" s="914"/>
      <c r="Y29" s="915"/>
      <c r="Z29" s="915"/>
      <c r="AA29" s="915"/>
      <c r="AB29" s="915"/>
      <c r="AC29" s="438"/>
      <c r="AD29" s="438"/>
      <c r="AK29" s="594"/>
      <c r="AL29" s="594"/>
      <c r="AM29" s="594"/>
      <c r="AN29" s="594"/>
    </row>
    <row r="30" spans="1:40" ht="30" customHeight="1" thickBot="1">
      <c r="A30" s="1054" t="s">
        <v>813</v>
      </c>
      <c r="B30" s="1055"/>
      <c r="C30" s="1056">
        <f>IF(OR(성적유무_21=FALSE,학력선택="검정고시합격"),0,COUNTA(C7:D28))</f>
        <v>0</v>
      </c>
      <c r="D30" s="856"/>
      <c r="E30" s="856">
        <f>IF(OR(성적유무_22=FALSE,학력선택="검정고시합격"),0,COUNTA(E7:F28))</f>
        <v>0</v>
      </c>
      <c r="F30" s="856"/>
      <c r="G30" s="856">
        <f>IF(OR(성적유무_31=FALSE,학력선택="검정고시합격"),0,COUNTA(G7:H28))</f>
        <v>0</v>
      </c>
      <c r="H30" s="856"/>
      <c r="I30" s="856">
        <f>IF(OR(성적유무_32=FALSE,학력선택&lt;&gt;"졸업"),0,COUNTA(I7:I28))</f>
        <v>0</v>
      </c>
      <c r="J30" s="856"/>
      <c r="K30" s="841">
        <f>IF(OR(과목수확인&lt;&gt;"Yes",학력선택="검정고시합격"),".",교과목수_합계)</f>
        <v>0</v>
      </c>
      <c r="L30" s="842"/>
      <c r="M30" s="988" t="str">
        <f>IF(학력선택="검정고시합격","◆ 검정고시 합격년도, 검정고시 점수 입력을 확인하였습니까?","◆ 입력된 과목수와 학교생활기록부의 과목수를 확인하였습니까? ▶")</f>
        <v>◆ 입력된 과목수와 학교생활기록부의 과목수를 확인하였습니까? ▶</v>
      </c>
      <c r="N30" s="989"/>
      <c r="O30" s="989"/>
      <c r="P30" s="989"/>
      <c r="Q30" s="473" t="s">
        <v>841</v>
      </c>
      <c r="R30" s="5"/>
      <c r="S30" s="275"/>
      <c r="T30" s="264" t="s">
        <v>96</v>
      </c>
      <c r="U30" s="916">
        <f>IF(OR(성적유무_21=FALSE,학력선택="검정고시합격"),0,COUNT(U7:V28))</f>
        <v>0</v>
      </c>
      <c r="V30" s="918"/>
      <c r="W30" s="916">
        <f>IF(OR(성적유무_22=FALSE,학력선택="검정고시합격"),0,COUNT(W7:X28))</f>
        <v>0</v>
      </c>
      <c r="X30" s="918"/>
      <c r="Y30" s="916">
        <f>IF(OR(성적유무_31=FALSE,학력선택="검정고시합격"),0,COUNT(Y7:Z28))</f>
        <v>0</v>
      </c>
      <c r="Z30" s="918"/>
      <c r="AA30" s="916">
        <f>IF(OR(성적유무_32=FALSE,학력선택&lt;&gt;"졸업"),0,COUNT(AA7:AA28))</f>
        <v>0</v>
      </c>
      <c r="AB30" s="917"/>
      <c r="AC30" s="444" t="s">
        <v>669</v>
      </c>
      <c r="AD30" s="445">
        <f>SUM(U30:AB30)</f>
        <v>0</v>
      </c>
      <c r="AK30" s="594"/>
      <c r="AL30" s="594"/>
      <c r="AM30" s="594"/>
      <c r="AN30" s="594"/>
    </row>
    <row r="31" spans="1:40" ht="30" customHeight="1" thickBot="1">
      <c r="A31" s="972" t="s">
        <v>677</v>
      </c>
      <c r="B31" s="973"/>
      <c r="C31" s="1058">
        <f>IF(OR(과목수확인&lt;&gt;"Yes",학력선택="검정고시합격"),".",IF(C$30=U$30,성취도점수_21,"과목수 입력 확인"))</f>
        <v>0</v>
      </c>
      <c r="D31" s="1059"/>
      <c r="E31" s="1059">
        <f>IF(OR(과목수확인&lt;&gt;"Yes",학력선택="검정고시합격"),".",IF(E$30=W$30,성취도점수_22,"과목수 입력 확인"))</f>
        <v>0</v>
      </c>
      <c r="F31" s="1059"/>
      <c r="G31" s="1059">
        <f>IF(OR(과목수확인&lt;&gt;"Yes",학력선택="검정고시합격"),".",IF(G$30=Y$30,성취도점수_31,"과목수 입력 확인"))</f>
        <v>0</v>
      </c>
      <c r="H31" s="1059"/>
      <c r="I31" s="1057" t="str">
        <f>IF(OR(과목수확인&lt;&gt;"Yes",학력선택&lt;&gt;"졸업"),".",IF(I$30=AA$30,성취도점수_32,"과목수 입력 확인"))</f>
        <v>.</v>
      </c>
      <c r="J31" s="1057"/>
      <c r="K31" s="843">
        <f>IF(OR(과목수확인&lt;&gt;"Yes",학력선택="검정고시합격"),".",성취도점수_합계)</f>
        <v>0</v>
      </c>
      <c r="L31" s="844"/>
      <c r="M31" s="961" t="str">
        <f>IF(학력선택="검정고시합격",검정고시합격년도&amp;"년 "&amp;검정고시_응시교육청&amp;"교육청 "&amp;검정고시합격점수&amp;"점, 석차백분율"&amp;검정고시_석차백분율&amp;"%","")</f>
        <v/>
      </c>
      <c r="N31" s="962"/>
      <c r="O31" s="962"/>
      <c r="P31" s="962"/>
      <c r="Q31" s="963"/>
      <c r="R31" s="6"/>
      <c r="S31" s="275"/>
      <c r="T31" s="446" t="s">
        <v>667</v>
      </c>
      <c r="U31" s="943">
        <f>IF(OR(성적유무_21=FALSE,학력선택="검정고시합격"),0,SUM(U7:V28))</f>
        <v>0</v>
      </c>
      <c r="V31" s="943"/>
      <c r="W31" s="943">
        <f>IF(OR(성적유무_22=FALSE,학력선택="검정고시합격"),0,SUM(W7:X28))</f>
        <v>0</v>
      </c>
      <c r="X31" s="943"/>
      <c r="Y31" s="943">
        <f>IF(OR(성적유무_31=FALSE,학력선택="검정고시합격"),0,SUM(Y7:Z28))</f>
        <v>0</v>
      </c>
      <c r="Z31" s="943"/>
      <c r="AA31" s="943">
        <f>IF(OR(성적유무_32=FALSE,학력선택&lt;&gt;"졸업"),0,SUM(AA7:AA28))</f>
        <v>0</v>
      </c>
      <c r="AB31" s="943"/>
      <c r="AC31" s="447" t="s">
        <v>669</v>
      </c>
      <c r="AD31" s="448">
        <f>SUM(U31:AB31)</f>
        <v>0</v>
      </c>
      <c r="AK31" s="594"/>
      <c r="AL31" s="594"/>
      <c r="AM31" s="594"/>
      <c r="AN31" s="594"/>
    </row>
    <row r="32" spans="1:53" s="125" customFormat="1" ht="9.95" customHeight="1" thickBot="1">
      <c r="A32" s="483"/>
      <c r="B32" s="484"/>
      <c r="C32" s="477"/>
      <c r="D32" s="477"/>
      <c r="E32" s="572"/>
      <c r="F32" s="477"/>
      <c r="G32" s="477"/>
      <c r="H32" s="477"/>
      <c r="I32" s="478"/>
      <c r="J32" s="478"/>
      <c r="K32" s="479"/>
      <c r="L32" s="480"/>
      <c r="M32" s="481"/>
      <c r="N32" s="481"/>
      <c r="O32" s="481"/>
      <c r="P32" s="481"/>
      <c r="Q32" s="481"/>
      <c r="R32" s="485"/>
      <c r="S32" s="481"/>
      <c r="T32" s="486"/>
      <c r="U32" s="482"/>
      <c r="V32" s="482"/>
      <c r="W32" s="482"/>
      <c r="X32" s="482"/>
      <c r="Y32" s="482"/>
      <c r="Z32" s="482"/>
      <c r="AA32" s="482"/>
      <c r="AB32" s="482"/>
      <c r="AC32" s="487"/>
      <c r="AD32" s="487"/>
      <c r="AE32" s="485"/>
      <c r="AF32" s="485"/>
      <c r="AG32" s="485"/>
      <c r="AH32" s="485"/>
      <c r="AI32" s="485"/>
      <c r="AJ32" s="595"/>
      <c r="AK32" s="596"/>
      <c r="AL32" s="596"/>
      <c r="AM32" s="596"/>
      <c r="AN32" s="596"/>
      <c r="AO32" s="485"/>
      <c r="AP32" s="485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618"/>
    </row>
    <row r="33" spans="1:40" ht="30" customHeight="1" thickBot="1">
      <c r="A33" s="952" t="s">
        <v>809</v>
      </c>
      <c r="B33" s="953"/>
      <c r="C33" s="954" t="str">
        <f>IF(OR(과목수확인&lt;&gt;"Yes",학력선택="검정고시합격"),".",평균_성취도점수)</f>
        <v/>
      </c>
      <c r="D33" s="955"/>
      <c r="E33" s="573"/>
      <c r="F33" s="969"/>
      <c r="G33" s="970"/>
      <c r="H33" s="971"/>
      <c r="I33" s="851" t="s">
        <v>810</v>
      </c>
      <c r="J33" s="836"/>
      <c r="K33" s="836"/>
      <c r="L33" s="836"/>
      <c r="M33" s="835" t="s">
        <v>812</v>
      </c>
      <c r="N33" s="836"/>
      <c r="O33" s="851" t="s">
        <v>811</v>
      </c>
      <c r="P33" s="836"/>
      <c r="Q33" s="861"/>
      <c r="R33" s="6"/>
      <c r="S33" s="474"/>
      <c r="T33" s="488" t="s">
        <v>678</v>
      </c>
      <c r="U33" s="967" t="str">
        <f>_xlfn.IFERROR(성취도점수_합계/교과목수_합계,"")</f>
        <v/>
      </c>
      <c r="V33" s="968"/>
      <c r="W33" s="919"/>
      <c r="X33" s="920"/>
      <c r="Y33" s="920"/>
      <c r="Z33" s="920"/>
      <c r="AA33" s="920"/>
      <c r="AB33" s="944"/>
      <c r="AC33" s="597" t="s">
        <v>679</v>
      </c>
      <c r="AD33" s="489" t="str">
        <f>_xlfn.IFERROR(U33/5,"")</f>
        <v/>
      </c>
      <c r="AK33" s="594"/>
      <c r="AL33" s="594"/>
      <c r="AM33" s="594"/>
      <c r="AN33" s="594"/>
    </row>
    <row r="34" spans="1:40" ht="18.6" customHeight="1">
      <c r="A34" s="974" t="s">
        <v>808</v>
      </c>
      <c r="B34" s="975"/>
      <c r="C34" s="956" t="str">
        <f>IF(OR(과목수확인&lt;&gt;"Yes",학력선택="검정고시합격"),".",전과목_평균성취율)</f>
        <v/>
      </c>
      <c r="D34" s="957"/>
      <c r="E34" s="574"/>
      <c r="F34" s="845" t="s">
        <v>29</v>
      </c>
      <c r="G34" s="846"/>
      <c r="H34" s="847"/>
      <c r="I34" s="852" t="str">
        <f>IF(OR(과목수확인&lt;&gt;"Yes",학력선택="검정고시합격",교과점수_일반_합계=0,교과점수_일반_합계=""),".",교과점수_일반_합계)</f>
        <v>.</v>
      </c>
      <c r="J34" s="834"/>
      <c r="K34" s="834"/>
      <c r="L34" s="834"/>
      <c r="M34" s="833" t="str">
        <f>IF(OR(학력선택="검정고시합격",가중치_합계=""),".",가중치_합계)</f>
        <v>.</v>
      </c>
      <c r="N34" s="834"/>
      <c r="O34" s="852" t="str">
        <f>IF(OR(과목수확인&lt;&gt;"Yes",교과학습발달상황점수_일반=0),".",교과학습발달상황점수_일반)</f>
        <v>.</v>
      </c>
      <c r="P34" s="834"/>
      <c r="Q34" s="860"/>
      <c r="R34" s="6"/>
      <c r="S34" s="6"/>
      <c r="T34" s="485"/>
      <c r="U34" s="598"/>
      <c r="V34" s="598"/>
      <c r="W34" s="598"/>
      <c r="X34" s="598"/>
      <c r="AK34" s="594"/>
      <c r="AL34" s="594"/>
      <c r="AM34" s="594"/>
      <c r="AN34" s="594"/>
    </row>
    <row r="35" spans="1:40" ht="18.6" customHeight="1" thickBot="1">
      <c r="A35" s="976"/>
      <c r="B35" s="977"/>
      <c r="C35" s="958"/>
      <c r="D35" s="959"/>
      <c r="E35" s="574"/>
      <c r="F35" s="848" t="s">
        <v>254</v>
      </c>
      <c r="G35" s="849"/>
      <c r="H35" s="850"/>
      <c r="I35" s="853" t="str">
        <f>IF(OR(과목수확인&lt;&gt;"Yes",학력선택="검정고시합격",전형구분선택="일반전형",교과점수_특별_합계=0,교과점수_특별_합계=""),".",교과점수_특별_합계)</f>
        <v>.</v>
      </c>
      <c r="J35" s="832"/>
      <c r="K35" s="832"/>
      <c r="L35" s="832"/>
      <c r="M35" s="831" t="str">
        <f>IF(OR(학력선택="검정고시합격",전형구분선택="일반전형",가중치_합계=""),".",가중치_합계)</f>
        <v>.</v>
      </c>
      <c r="N35" s="832"/>
      <c r="O35" s="853" t="str">
        <f>IF(OR(과목수확인&lt;&gt;"Yes",전형구분선택="일반전형",교과학습발달상황점수_특별=0),".",교과학습발달상황점수_특별)</f>
        <v>.</v>
      </c>
      <c r="P35" s="832"/>
      <c r="Q35" s="859"/>
      <c r="R35" s="6"/>
      <c r="S35" s="6"/>
      <c r="T35" s="485"/>
      <c r="U35" s="599"/>
      <c r="V35" s="599"/>
      <c r="W35" s="599"/>
      <c r="X35" s="599"/>
      <c r="AK35" s="594"/>
      <c r="AL35" s="594"/>
      <c r="AM35" s="594"/>
      <c r="AN35" s="594"/>
    </row>
    <row r="36" spans="1:40" ht="9.95" customHeight="1" thickBot="1">
      <c r="A36" s="6"/>
      <c r="B36" s="6"/>
      <c r="C36" s="6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6"/>
      <c r="AK36" s="594"/>
      <c r="AL36" s="594"/>
      <c r="AM36" s="594"/>
      <c r="AN36" s="594"/>
    </row>
    <row r="37" spans="1:40" ht="20.1" customHeight="1">
      <c r="A37" s="945" t="s">
        <v>82</v>
      </c>
      <c r="B37" s="946"/>
      <c r="C37" s="946"/>
      <c r="D37" s="946"/>
      <c r="E37" s="946"/>
      <c r="F37" s="946"/>
      <c r="G37" s="946"/>
      <c r="H37" s="946"/>
      <c r="I37" s="946"/>
      <c r="J37" s="947"/>
      <c r="K37" s="193"/>
      <c r="L37" s="1068" t="s">
        <v>759</v>
      </c>
      <c r="M37" s="1069"/>
      <c r="N37" s="1069"/>
      <c r="O37" s="1069"/>
      <c r="P37" s="1069"/>
      <c r="Q37" s="1070"/>
      <c r="R37" s="6"/>
      <c r="S37" s="113" t="s">
        <v>673</v>
      </c>
      <c r="T37" s="127"/>
      <c r="U37" s="964"/>
      <c r="V37" s="965"/>
      <c r="W37" s="965"/>
      <c r="X37" s="965"/>
      <c r="Y37" s="965"/>
      <c r="Z37" s="965"/>
      <c r="AA37" s="965"/>
      <c r="AB37" s="966"/>
      <c r="AC37" s="625"/>
      <c r="AD37" s="893" t="s">
        <v>195</v>
      </c>
      <c r="AE37" s="893"/>
      <c r="AF37" s="893"/>
      <c r="AG37" s="898" t="s">
        <v>189</v>
      </c>
      <c r="AH37" s="1007" t="s">
        <v>799</v>
      </c>
      <c r="AK37" s="594"/>
      <c r="AL37" s="594"/>
      <c r="AM37" s="594"/>
      <c r="AN37" s="594"/>
    </row>
    <row r="38" spans="1:40" ht="30" customHeight="1">
      <c r="A38" s="948" t="s">
        <v>756</v>
      </c>
      <c r="B38" s="949"/>
      <c r="C38" s="949" t="s">
        <v>80</v>
      </c>
      <c r="D38" s="949"/>
      <c r="E38" s="949" t="s">
        <v>757</v>
      </c>
      <c r="F38" s="949"/>
      <c r="G38" s="949" t="s">
        <v>758</v>
      </c>
      <c r="H38" s="949"/>
      <c r="I38" s="949"/>
      <c r="J38" s="960"/>
      <c r="K38" s="194"/>
      <c r="L38" s="1067" t="str">
        <f>IF(전형구분선택="일반전형","교과학습
발달상황(0)","교과학습
발달상황(120)")</f>
        <v>교과학습
발달상황(120)</v>
      </c>
      <c r="M38" s="910"/>
      <c r="N38" s="318" t="str">
        <f>IF(전형구분선택="일반전형","출결
(0)","출결
(120)")</f>
        <v>출결
(120)</v>
      </c>
      <c r="O38" s="318" t="str">
        <f>IF(전형구분선택="일반전형","봉사
(0)","봉사
(40)")</f>
        <v>봉사
(40)</v>
      </c>
      <c r="P38" s="910" t="str">
        <f>IF(전형구분선택="일반전형","입학전형 점수
(0점)","1차 입학전형 총점
(최고점 280점)")</f>
        <v>1차 입학전형 총점
(최고점 280점)</v>
      </c>
      <c r="Q38" s="911"/>
      <c r="R38" s="6"/>
      <c r="S38" s="18" t="s">
        <v>183</v>
      </c>
      <c r="T38" s="626" t="s">
        <v>179</v>
      </c>
      <c r="U38" s="901" t="s">
        <v>672</v>
      </c>
      <c r="V38" s="902"/>
      <c r="W38" s="901" t="s">
        <v>674</v>
      </c>
      <c r="X38" s="902"/>
      <c r="Y38" s="901" t="s">
        <v>671</v>
      </c>
      <c r="Z38" s="902"/>
      <c r="AA38" s="901" t="s">
        <v>670</v>
      </c>
      <c r="AB38" s="902"/>
      <c r="AC38" s="562" t="s">
        <v>184</v>
      </c>
      <c r="AD38" s="561" t="s">
        <v>795</v>
      </c>
      <c r="AE38" s="561" t="s">
        <v>196</v>
      </c>
      <c r="AF38" s="561" t="s">
        <v>796</v>
      </c>
      <c r="AG38" s="898"/>
      <c r="AH38" s="1008"/>
      <c r="AK38" s="594"/>
      <c r="AL38" s="594"/>
      <c r="AM38" s="594"/>
      <c r="AN38" s="594"/>
    </row>
    <row r="39" spans="1:40" ht="30" customHeight="1" thickBot="1">
      <c r="A39" s="950" t="str">
        <f>IF(OR(과목수확인&lt;&gt;"Yes",교과학습발달상황점수_일반=0),".",교과학습발달상황점수_일반)</f>
        <v>.</v>
      </c>
      <c r="B39" s="951"/>
      <c r="C39" s="951">
        <f>출결점수_일반전형</f>
        <v>60</v>
      </c>
      <c r="D39" s="951"/>
      <c r="E39" s="951">
        <f>IF(과목수확인&lt;&gt;"Yes",".",봉사활동점수)</f>
        <v>20</v>
      </c>
      <c r="F39" s="951"/>
      <c r="G39" s="1073" t="str">
        <f>IF(COUNT(A39:F39)&lt;3,".",SUM(A39:F39))</f>
        <v>.</v>
      </c>
      <c r="H39" s="1073"/>
      <c r="I39" s="1073"/>
      <c r="J39" s="1074"/>
      <c r="K39" s="114"/>
      <c r="L39" s="1077" t="str">
        <f>IF(OR(과목수확인&lt;&gt;"Yes",전형구분선택="일반전형",교과학습발달상황점수_특별=0),".",교과학습발달상황점수_특별)</f>
        <v>.</v>
      </c>
      <c r="M39" s="1078"/>
      <c r="N39" s="211">
        <f>출결점수_특별전형</f>
        <v>120</v>
      </c>
      <c r="O39" s="211">
        <f>IF(전형구분선택="일반전형",".",봉사활동점수)</f>
        <v>20</v>
      </c>
      <c r="P39" s="1078" t="str">
        <f>IF(COUNT(L39:O39)=3,SUM(L39:O39),".")</f>
        <v>.</v>
      </c>
      <c r="Q39" s="1079"/>
      <c r="R39" s="6"/>
      <c r="S39" s="111">
        <v>11</v>
      </c>
      <c r="T39" s="129" t="s">
        <v>103</v>
      </c>
      <c r="U39" s="909">
        <f>SUM(U$31:Z$31)</f>
        <v>0</v>
      </c>
      <c r="V39" s="909"/>
      <c r="W39" s="909">
        <f>SUM(U$30:Z$30)</f>
        <v>0</v>
      </c>
      <c r="X39" s="909"/>
      <c r="Y39" s="905" t="str">
        <f>_xlfn.IFERROR(U39/W39,"")</f>
        <v/>
      </c>
      <c r="Z39" s="906"/>
      <c r="AA39" s="905" t="str">
        <f>_xlfn.IFERROR(Y39/5,"")</f>
        <v/>
      </c>
      <c r="AB39" s="906"/>
      <c r="AC39" s="600" t="str">
        <f>_xlfn.IFERROR(IF(AND(U39=$AD$31,W39=$AD$30),ROUND(AC62*AA39,2),"."),".")</f>
        <v>.</v>
      </c>
      <c r="AD39" s="601" t="str">
        <f>IF(가중치_수학_졸업예정="","",가중치_수학_졸업예정)</f>
        <v/>
      </c>
      <c r="AE39" s="601" t="str">
        <f>IF(가중치_기가_졸업예정="","",가중치_기가_졸업예정)</f>
        <v/>
      </c>
      <c r="AF39" s="601" t="str">
        <f>IF(가중치_영어_졸업예정="","",가중치_영어_졸업예정)</f>
        <v/>
      </c>
      <c r="AG39" s="600">
        <f>SUM(AD39:AF39)</f>
        <v>0</v>
      </c>
      <c r="AH39" s="602" t="str">
        <f>_xlfn.IFERROR(AC39+AG39,".")</f>
        <v>.</v>
      </c>
      <c r="AK39" s="594"/>
      <c r="AL39" s="594"/>
      <c r="AM39" s="594"/>
      <c r="AN39" s="594"/>
    </row>
    <row r="40" spans="1:40" ht="18" customHeight="1" hidden="1">
      <c r="A40" s="127" t="s">
        <v>683</v>
      </c>
      <c r="R40" s="6"/>
      <c r="S40" s="111">
        <v>12</v>
      </c>
      <c r="T40" s="129" t="s">
        <v>761</v>
      </c>
      <c r="U40" s="903">
        <f>SUM(U$31:Z$31)</f>
        <v>0</v>
      </c>
      <c r="V40" s="904"/>
      <c r="W40" s="903">
        <f>SUM(U$30:Z$30)</f>
        <v>0</v>
      </c>
      <c r="X40" s="904"/>
      <c r="Y40" s="905" t="str">
        <f>_xlfn.IFERROR(U40/W40,"")</f>
        <v/>
      </c>
      <c r="Z40" s="906"/>
      <c r="AA40" s="907" t="str">
        <f>_xlfn.IFERROR(Y40/5,"")</f>
        <v/>
      </c>
      <c r="AB40" s="908"/>
      <c r="AC40" s="600" t="str">
        <f aca="true" t="shared" si="12" ref="AC40:AC42">_xlfn.IFERROR(IF(AND(U40=$AD$31,W40=$AD$30),ROUND(AC63*AA40,2),"."),".")</f>
        <v>.</v>
      </c>
      <c r="AD40" s="601" t="str">
        <f>IF(가중치_수학_졸업예정="","",가중치_수학_졸업예정)</f>
        <v/>
      </c>
      <c r="AE40" s="601" t="str">
        <f>IF(가중치_기가_졸업예정="","",가중치_기가_졸업예정)</f>
        <v/>
      </c>
      <c r="AF40" s="601" t="str">
        <f>IF(가중치_영어_졸업예정="","",가중치_영어_졸업예정)</f>
        <v/>
      </c>
      <c r="AG40" s="600">
        <f aca="true" t="shared" si="13" ref="AG40:AG47">SUM(AD40:AF40)</f>
        <v>0</v>
      </c>
      <c r="AH40" s="602" t="str">
        <f aca="true" t="shared" si="14" ref="AH40:AH42">_xlfn.IFERROR(AC40+AG40,".")</f>
        <v>.</v>
      </c>
      <c r="AK40" s="594"/>
      <c r="AL40" s="594"/>
      <c r="AM40" s="594"/>
      <c r="AN40" s="594"/>
    </row>
    <row r="41" spans="1:40" ht="18" customHeight="1" hidden="1">
      <c r="A41" s="889" t="s">
        <v>341</v>
      </c>
      <c r="B41" s="890"/>
      <c r="C41" s="857" t="s">
        <v>185</v>
      </c>
      <c r="D41" s="857"/>
      <c r="E41" s="857" t="s">
        <v>186</v>
      </c>
      <c r="F41" s="857"/>
      <c r="G41" s="857" t="s">
        <v>187</v>
      </c>
      <c r="H41" s="857"/>
      <c r="I41" s="857" t="s">
        <v>188</v>
      </c>
      <c r="J41" s="857"/>
      <c r="K41" s="463"/>
      <c r="L41" s="933" t="s">
        <v>680</v>
      </c>
      <c r="N41" s="1063"/>
      <c r="R41" s="6"/>
      <c r="S41" s="111">
        <v>13</v>
      </c>
      <c r="T41" s="129" t="s">
        <v>105</v>
      </c>
      <c r="U41" s="903">
        <f aca="true" t="shared" si="15" ref="U41:U42">SUM(U$31:Z$31)</f>
        <v>0</v>
      </c>
      <c r="V41" s="904"/>
      <c r="W41" s="903">
        <f aca="true" t="shared" si="16" ref="W41:W42">SUM(U$30:Z$30)</f>
        <v>0</v>
      </c>
      <c r="X41" s="904"/>
      <c r="Y41" s="905" t="str">
        <f aca="true" t="shared" si="17" ref="Y41:Y42">_xlfn.IFERROR(U41/W41,"")</f>
        <v/>
      </c>
      <c r="Z41" s="906"/>
      <c r="AA41" s="907" t="str">
        <f aca="true" t="shared" si="18" ref="AA41:AA42">_xlfn.IFERROR(Y41/5,"")</f>
        <v/>
      </c>
      <c r="AB41" s="908"/>
      <c r="AC41" s="600" t="str">
        <f t="shared" si="12"/>
        <v>.</v>
      </c>
      <c r="AD41" s="601" t="str">
        <f>IF(가중치_수학_졸업예정="","",가중치_수학_졸업예정)</f>
        <v/>
      </c>
      <c r="AE41" s="601" t="str">
        <f>IF(가중치_기가_졸업예정="","",가중치_기가_졸업예정)</f>
        <v/>
      </c>
      <c r="AF41" s="601" t="str">
        <f>IF(가중치_영어_졸업예정="","",가중치_영어_졸업예정)</f>
        <v/>
      </c>
      <c r="AG41" s="600">
        <f t="shared" si="13"/>
        <v>0</v>
      </c>
      <c r="AH41" s="602" t="str">
        <f t="shared" si="14"/>
        <v>.</v>
      </c>
      <c r="AK41" s="594"/>
      <c r="AL41" s="594"/>
      <c r="AM41" s="594"/>
      <c r="AN41" s="594"/>
    </row>
    <row r="42" spans="1:40" ht="18" customHeight="1" hidden="1">
      <c r="A42" s="891"/>
      <c r="B42" s="892"/>
      <c r="C42" s="857" t="s">
        <v>164</v>
      </c>
      <c r="D42" s="857"/>
      <c r="E42" s="857" t="s">
        <v>164</v>
      </c>
      <c r="F42" s="857"/>
      <c r="G42" s="857" t="s">
        <v>164</v>
      </c>
      <c r="H42" s="857"/>
      <c r="I42" s="857" t="s">
        <v>164</v>
      </c>
      <c r="J42" s="857"/>
      <c r="K42" s="463"/>
      <c r="L42" s="933"/>
      <c r="N42" s="1063"/>
      <c r="R42" s="6"/>
      <c r="S42" s="111">
        <v>14</v>
      </c>
      <c r="T42" s="129" t="s">
        <v>106</v>
      </c>
      <c r="U42" s="903">
        <f t="shared" si="15"/>
        <v>0</v>
      </c>
      <c r="V42" s="904"/>
      <c r="W42" s="903">
        <f t="shared" si="16"/>
        <v>0</v>
      </c>
      <c r="X42" s="904"/>
      <c r="Y42" s="905" t="str">
        <f t="shared" si="17"/>
        <v/>
      </c>
      <c r="Z42" s="906"/>
      <c r="AA42" s="907" t="str">
        <f t="shared" si="18"/>
        <v/>
      </c>
      <c r="AB42" s="908"/>
      <c r="AC42" s="600" t="str">
        <f t="shared" si="12"/>
        <v>.</v>
      </c>
      <c r="AD42" s="601" t="str">
        <f>IF(가중치_수학_졸업예정="","",가중치_수학_졸업예정)</f>
        <v/>
      </c>
      <c r="AE42" s="601" t="str">
        <f>IF(가중치_기가_졸업예정="","",가중치_기가_졸업예정)</f>
        <v/>
      </c>
      <c r="AF42" s="601" t="str">
        <f>IF(가중치_영어_졸업예정="","",가중치_영어_졸업예정)</f>
        <v/>
      </c>
      <c r="AG42" s="600">
        <f t="shared" si="13"/>
        <v>0</v>
      </c>
      <c r="AH42" s="602" t="str">
        <f t="shared" si="14"/>
        <v>.</v>
      </c>
      <c r="AK42" s="594"/>
      <c r="AL42" s="594"/>
      <c r="AM42" s="594"/>
      <c r="AN42" s="594"/>
    </row>
    <row r="43" spans="1:40" ht="18" customHeight="1" hidden="1">
      <c r="A43" s="995" t="s">
        <v>314</v>
      </c>
      <c r="B43" s="383" t="s">
        <v>315</v>
      </c>
      <c r="C43" s="994">
        <f>IF(OR(성적유무_21=FALSE,학력선택="검정고시합격"),"",COUNTIF(C$7:D$28,$C50)+COUNTIF(C$7:D$28,$E50)+COUNTIF(C$7:D$28,$G50))</f>
        <v>0</v>
      </c>
      <c r="D43" s="992"/>
      <c r="E43" s="994">
        <f>IF(OR(성적유무_22=FALSE,학력선택="검정고시합격"),"",COUNTIF(E$7:F$28,$C50)+COUNTIF(E$7:F$28,$E50)+COUNTIF(E$7:F$28,$G50))</f>
        <v>0</v>
      </c>
      <c r="F43" s="992"/>
      <c r="G43" s="994">
        <f>IF(OR(성적유무_31=FALSE,학력선택="검정고시합격"),"",COUNTIF(G$7:H$28,$C50)+COUNTIF(G$7:H$28,$E50)+COUNTIF(G$7:H$28,$G50))</f>
        <v>0</v>
      </c>
      <c r="H43" s="992"/>
      <c r="I43" s="998" t="str">
        <f>IF(OR(성적유무_32=FALSE,학력선택&lt;&gt;"졸업"),"",COUNTIF(I$7:J$28,$C50)+COUNTIF(I$7:J$28,$E50)+COUNTIF(I$7:J$28,$G50))</f>
        <v/>
      </c>
      <c r="J43" s="858"/>
      <c r="K43" s="463"/>
      <c r="L43" s="468">
        <f>IF(학력선택="검정고시합격",".",SUMIF(성적유무_21,TRUE,C43)+SUMIF(성적유무_22,TRUE,E43)+SUMIF(성적유무_31,TRUE,G43)+SUMIF(성적유무_32,TRUE,I43))</f>
        <v>0</v>
      </c>
      <c r="N43" s="460"/>
      <c r="R43" s="6"/>
      <c r="S43" s="111"/>
      <c r="T43" s="129"/>
      <c r="U43" s="903"/>
      <c r="V43" s="904"/>
      <c r="W43" s="903"/>
      <c r="X43" s="904"/>
      <c r="Y43" s="905"/>
      <c r="Z43" s="906"/>
      <c r="AA43" s="905"/>
      <c r="AB43" s="906"/>
      <c r="AC43" s="600"/>
      <c r="AD43" s="601"/>
      <c r="AE43" s="601"/>
      <c r="AF43" s="601"/>
      <c r="AG43" s="603"/>
      <c r="AH43" s="602"/>
      <c r="AK43" s="594"/>
      <c r="AL43" s="594"/>
      <c r="AM43" s="594"/>
      <c r="AN43" s="594"/>
    </row>
    <row r="44" spans="1:40" ht="18" customHeight="1" hidden="1">
      <c r="A44" s="996"/>
      <c r="B44" s="383" t="s">
        <v>316</v>
      </c>
      <c r="C44" s="994">
        <f>IF(OR(성적유무_21=FALSE,학력선택="검정고시합격"),"",COUNTIF(C$7:D$28,$C51)+COUNTIF(C$7:D$28,$E51)+COUNTIF(C$7:D$28,$G51))</f>
        <v>0</v>
      </c>
      <c r="D44" s="992"/>
      <c r="E44" s="994">
        <f>IF(OR(성적유무_22=FALSE,학력선택="검정고시합격"),"",COUNTIF(E$7:F$28,$C51)+COUNTIF(E$7:F$28,$E51)+COUNTIF(E$7:F$28,$G51))</f>
        <v>0</v>
      </c>
      <c r="F44" s="992"/>
      <c r="G44" s="994">
        <f>IF(OR(성적유무_31=FALSE,학력선택="검정고시합격"),"",COUNTIF(G$7:H$28,$C51)+COUNTIF(G$7:H$28,$E51)+COUNTIF(G$7:H$28,$G51))</f>
        <v>0</v>
      </c>
      <c r="H44" s="992"/>
      <c r="I44" s="998" t="str">
        <f>IF(OR(성적유무_32=FALSE,학력선택&lt;&gt;"졸업"),"",COUNTIF(I$7:J$28,$C51)+COUNTIF(I$7:J$28,$E51)+COUNTIF(I$7:J$28,$G51))</f>
        <v/>
      </c>
      <c r="J44" s="858"/>
      <c r="K44" s="463"/>
      <c r="L44" s="468">
        <f>IF(학력선택="검정고시합격",".",SUMIF(성적유무_21,TRUE,C44)+SUMIF(성적유무_22,TRUE,E44)+SUMIF(성적유무_31,TRUE,G44)+SUMIF(성적유무_32,TRUE,I44))</f>
        <v>0</v>
      </c>
      <c r="N44" s="460"/>
      <c r="S44" s="112">
        <v>21</v>
      </c>
      <c r="T44" s="206" t="s">
        <v>104</v>
      </c>
      <c r="U44" s="903">
        <f>SUM(U$31:AB$31)</f>
        <v>0</v>
      </c>
      <c r="V44" s="904"/>
      <c r="W44" s="903">
        <f>SUM(U$30:AB$30)</f>
        <v>0</v>
      </c>
      <c r="X44" s="904"/>
      <c r="Y44" s="905" t="str">
        <f aca="true" t="shared" si="19" ref="Y44:Y47">_xlfn.IFERROR(U44/W44,"")</f>
        <v/>
      </c>
      <c r="Z44" s="906"/>
      <c r="AA44" s="905" t="str">
        <f aca="true" t="shared" si="20" ref="AA44:AA47">_xlfn.IFERROR(Y44/5,"")</f>
        <v/>
      </c>
      <c r="AB44" s="906"/>
      <c r="AC44" s="600" t="str">
        <f>_xlfn.IFERROR(IF(AND(U44=$AD$31,W44=$AD$30,학력선택="졸업"),ROUND(AC67*AA44,2),"."),".")</f>
        <v>.</v>
      </c>
      <c r="AD44" s="601" t="str">
        <f>IF(가중치_수학_졸업="","",가중치_수학_졸업)</f>
        <v/>
      </c>
      <c r="AE44" s="601" t="str">
        <f>IF(가중치_기가_졸업="","",가중치_기가_졸업)</f>
        <v/>
      </c>
      <c r="AF44" s="601" t="str">
        <f>IF(가중치_영어_졸업="","",가중치_영어_졸업)</f>
        <v/>
      </c>
      <c r="AG44" s="600">
        <f t="shared" si="13"/>
        <v>0</v>
      </c>
      <c r="AH44" s="602" t="str">
        <f>_xlfn.IFERROR(AC44+AG44,".")</f>
        <v>.</v>
      </c>
      <c r="AK44" s="594"/>
      <c r="AL44" s="594"/>
      <c r="AM44" s="594"/>
      <c r="AN44" s="594"/>
    </row>
    <row r="45" spans="1:40" ht="18" customHeight="1" hidden="1">
      <c r="A45" s="996"/>
      <c r="B45" s="383" t="s">
        <v>317</v>
      </c>
      <c r="C45" s="994">
        <f>IF(OR(성적유무_21=FALSE,학력선택="검정고시합격"),"",COUNTIF(C$7:D$28,$C52)+COUNTIF(C$7:D$28,$E52)+COUNTIF(C$7:D$28,$G52))</f>
        <v>0</v>
      </c>
      <c r="D45" s="992"/>
      <c r="E45" s="994">
        <f>IF(OR(성적유무_22=FALSE,학력선택="검정고시합격"),"",COUNTIF(E$7:F$28,$C52)+COUNTIF(E$7:F$28,$E52)+COUNTIF(E$7:F$28,$G52))</f>
        <v>0</v>
      </c>
      <c r="F45" s="992"/>
      <c r="G45" s="994">
        <f>IF(OR(성적유무_31=FALSE,학력선택="검정고시합격"),"",COUNTIF(G$7:H$28,$C52)+COUNTIF(G$7:H$28,$E52)+COUNTIF(G$7:H$28,$G52))</f>
        <v>0</v>
      </c>
      <c r="H45" s="992"/>
      <c r="I45" s="998" t="str">
        <f>IF(OR(성적유무_32=FALSE,학력선택&lt;&gt;"졸업"),"",COUNTIF(I$7:J$28,$C52)+COUNTIF(I$7:J$28,$E52)+COUNTIF(I$7:J$28,$G52))</f>
        <v/>
      </c>
      <c r="J45" s="858"/>
      <c r="K45" s="463"/>
      <c r="L45" s="468">
        <f>IF(학력선택="검정고시합격",".",SUMIF(성적유무_21,TRUE,C45)+SUMIF(성적유무_22,TRUE,E45)+SUMIF(성적유무_31,TRUE,G45)+SUMIF(성적유무_32,TRUE,I45))</f>
        <v>0</v>
      </c>
      <c r="N45" s="460"/>
      <c r="S45" s="112">
        <v>22</v>
      </c>
      <c r="T45" s="206" t="s">
        <v>762</v>
      </c>
      <c r="U45" s="903">
        <f aca="true" t="shared" si="21" ref="U45:U47">SUM(U$31:AB$31)</f>
        <v>0</v>
      </c>
      <c r="V45" s="904"/>
      <c r="W45" s="903">
        <f aca="true" t="shared" si="22" ref="W45:W47">SUM(U$30:AB$30)</f>
        <v>0</v>
      </c>
      <c r="X45" s="904"/>
      <c r="Y45" s="905" t="str">
        <f t="shared" si="19"/>
        <v/>
      </c>
      <c r="Z45" s="906"/>
      <c r="AA45" s="905" t="str">
        <f t="shared" si="20"/>
        <v/>
      </c>
      <c r="AB45" s="906"/>
      <c r="AC45" s="600" t="str">
        <f>_xlfn.IFERROR(IF(AND(U45=$AD$31,W45=$AD$30,학력선택="졸업"),ROUND(AC68*AA45,2),"."),".")</f>
        <v>.</v>
      </c>
      <c r="AD45" s="601" t="str">
        <f>IF(가중치_수학_졸업="","",가중치_수학_졸업)</f>
        <v/>
      </c>
      <c r="AE45" s="601" t="str">
        <f>IF(가중치_기가_졸업="","",가중치_기가_졸업)</f>
        <v/>
      </c>
      <c r="AF45" s="601" t="str">
        <f>IF(가중치_영어_졸업="","",가중치_영어_졸업)</f>
        <v/>
      </c>
      <c r="AG45" s="600">
        <f t="shared" si="13"/>
        <v>0</v>
      </c>
      <c r="AH45" s="602" t="str">
        <f aca="true" t="shared" si="23" ref="AH45:AH47">_xlfn.IFERROR(AC45+AG45,".")</f>
        <v>.</v>
      </c>
      <c r="AK45" s="594"/>
      <c r="AL45" s="594"/>
      <c r="AM45" s="594"/>
      <c r="AN45" s="594"/>
    </row>
    <row r="46" spans="1:40" ht="18" customHeight="1" hidden="1">
      <c r="A46" s="996"/>
      <c r="B46" s="383" t="s">
        <v>318</v>
      </c>
      <c r="C46" s="994">
        <f>IF(OR(성적유무_21=FALSE,학력선택="검정고시합격"),"",COUNTIF(C$7:D$28,$C53)+COUNTIF(C$7:D$28,$E53)+COUNTIF(C$7:D$28,$G53))</f>
        <v>0</v>
      </c>
      <c r="D46" s="992"/>
      <c r="E46" s="994">
        <f>IF(OR(성적유무_22=FALSE,학력선택="검정고시합격"),"",COUNTIF(E$7:F$28,$C53)+COUNTIF(E$7:F$28,$E53)+COUNTIF(E$7:F$28,$G53))</f>
        <v>0</v>
      </c>
      <c r="F46" s="992"/>
      <c r="G46" s="994">
        <f>IF(OR(성적유무_31=FALSE,학력선택="검정고시합격"),"",COUNTIF(G$7:H$28,$C53)+COUNTIF(G$7:H$28,$E53)+COUNTIF(G$7:H$28,$G53))</f>
        <v>0</v>
      </c>
      <c r="H46" s="992"/>
      <c r="I46" s="998" t="str">
        <f>IF(OR(성적유무_32=FALSE,학력선택&lt;&gt;"졸업"),"",COUNTIF(I$7:J$28,$C53)+COUNTIF(I$7:J$28,$E53)+COUNTIF(I$7:J$28,$G53))</f>
        <v/>
      </c>
      <c r="J46" s="858"/>
      <c r="K46" s="463"/>
      <c r="L46" s="468">
        <f>IF(학력선택="검정고시합격",".",SUMIF(성적유무_21,TRUE,C46)+SUMIF(성적유무_22,TRUE,E46)+SUMIF(성적유무_31,TRUE,G46)+SUMIF(성적유무_32,TRUE,I46))</f>
        <v>0</v>
      </c>
      <c r="N46" s="460"/>
      <c r="S46" s="112">
        <v>23</v>
      </c>
      <c r="T46" s="206" t="s">
        <v>107</v>
      </c>
      <c r="U46" s="903">
        <f t="shared" si="21"/>
        <v>0</v>
      </c>
      <c r="V46" s="904"/>
      <c r="W46" s="903">
        <f t="shared" si="22"/>
        <v>0</v>
      </c>
      <c r="X46" s="904"/>
      <c r="Y46" s="905" t="str">
        <f t="shared" si="19"/>
        <v/>
      </c>
      <c r="Z46" s="906"/>
      <c r="AA46" s="905" t="str">
        <f t="shared" si="20"/>
        <v/>
      </c>
      <c r="AB46" s="906"/>
      <c r="AC46" s="600" t="str">
        <f>_xlfn.IFERROR(IF(AND(U46=$AD$31,W46=$AD$30,학력선택="졸업"),ROUND(AC69*AA46,2),"."),".")</f>
        <v>.</v>
      </c>
      <c r="AD46" s="601" t="str">
        <f>IF(가중치_수학_졸업="","",가중치_수학_졸업)</f>
        <v/>
      </c>
      <c r="AE46" s="601" t="str">
        <f>IF(가중치_기가_졸업="","",가중치_기가_졸업)</f>
        <v/>
      </c>
      <c r="AF46" s="601" t="str">
        <f>IF(가중치_영어_졸업="","",가중치_영어_졸업)</f>
        <v/>
      </c>
      <c r="AG46" s="600">
        <f t="shared" si="13"/>
        <v>0</v>
      </c>
      <c r="AH46" s="602" t="str">
        <f t="shared" si="23"/>
        <v>.</v>
      </c>
      <c r="AK46" s="594"/>
      <c r="AL46" s="594"/>
      <c r="AM46" s="594"/>
      <c r="AN46" s="594"/>
    </row>
    <row r="47" spans="1:40" ht="18" customHeight="1" hidden="1">
      <c r="A47" s="997"/>
      <c r="B47" s="383" t="s">
        <v>319</v>
      </c>
      <c r="C47" s="994">
        <f>IF(OR(성적유무_21=FALSE,학력선택="검정고시합격"),"",COUNTIF(C$7:D$28,$C54)+COUNTIF(C$7:D$28,$E54)+COUNTIF(C$7:D$28,$G54))</f>
        <v>0</v>
      </c>
      <c r="D47" s="992"/>
      <c r="E47" s="994">
        <f>IF(OR(성적유무_22=FALSE,학력선택="검정고시합격"),"",COUNTIF(E$7:F$28,$C54)+COUNTIF(E$7:F$28,$E54)+COUNTIF(E$7:F$28,$G54))</f>
        <v>0</v>
      </c>
      <c r="F47" s="992"/>
      <c r="G47" s="994">
        <f>IF(OR(성적유무_31=FALSE,학력선택="검정고시합격"),"",COUNTIF(G$7:H$28,$C54)+COUNTIF(G$7:H$28,$E54)+COUNTIF(G$7:H$28,$G54))</f>
        <v>0</v>
      </c>
      <c r="H47" s="992"/>
      <c r="I47" s="998" t="str">
        <f>IF(OR(성적유무_32=FALSE,학력선택&lt;&gt;"졸업"),"",COUNTIF(I$7:J$28,$C54)+COUNTIF(I$7:J$28,$E54)+COUNTIF(I$7:J$28,$G54))</f>
        <v/>
      </c>
      <c r="J47" s="858"/>
      <c r="K47" s="463"/>
      <c r="L47" s="468">
        <f>IF(학력선택="검정고시합격",".",SUMIF(성적유무_21,TRUE,C47)+SUMIF(성적유무_22,TRUE,E47)+SUMIF(성적유무_31,TRUE,G47)+SUMIF(성적유무_32,TRUE,I47))</f>
        <v>0</v>
      </c>
      <c r="N47" s="565"/>
      <c r="S47" s="112">
        <v>24</v>
      </c>
      <c r="T47" s="206" t="s">
        <v>108</v>
      </c>
      <c r="U47" s="903">
        <f t="shared" si="21"/>
        <v>0</v>
      </c>
      <c r="V47" s="904"/>
      <c r="W47" s="903">
        <f t="shared" si="22"/>
        <v>0</v>
      </c>
      <c r="X47" s="904"/>
      <c r="Y47" s="905" t="str">
        <f t="shared" si="19"/>
        <v/>
      </c>
      <c r="Z47" s="906"/>
      <c r="AA47" s="905" t="str">
        <f t="shared" si="20"/>
        <v/>
      </c>
      <c r="AB47" s="906"/>
      <c r="AC47" s="600" t="str">
        <f>_xlfn.IFERROR(IF(AND(U47=$AD$31,W47=$AD$30,학력선택="졸업"),ROUND(AC70*AA47,2),"."),".")</f>
        <v>.</v>
      </c>
      <c r="AD47" s="601" t="str">
        <f>IF(가중치_수학_졸업="","",가중치_수학_졸업)</f>
        <v/>
      </c>
      <c r="AE47" s="601" t="str">
        <f>IF(가중치_기가_졸업="","",가중치_기가_졸업)</f>
        <v/>
      </c>
      <c r="AF47" s="601" t="str">
        <f>IF(가중치_영어_졸업="","",가중치_영어_졸업)</f>
        <v/>
      </c>
      <c r="AG47" s="600">
        <f t="shared" si="13"/>
        <v>0</v>
      </c>
      <c r="AH47" s="602" t="str">
        <f t="shared" si="23"/>
        <v>.</v>
      </c>
      <c r="AK47" s="594"/>
      <c r="AL47" s="594"/>
      <c r="AM47" s="594"/>
      <c r="AN47" s="594"/>
    </row>
    <row r="48" spans="1:40" ht="18" customHeight="1" hidden="1">
      <c r="A48" s="1072" t="s">
        <v>328</v>
      </c>
      <c r="B48" s="1000"/>
      <c r="C48" s="999">
        <f>SUM(C43:D47)</f>
        <v>0</v>
      </c>
      <c r="D48" s="1000"/>
      <c r="E48" s="999">
        <f aca="true" t="shared" si="24" ref="E48">SUM(E43:F47)</f>
        <v>0</v>
      </c>
      <c r="F48" s="1000"/>
      <c r="G48" s="999">
        <f aca="true" t="shared" si="25" ref="G48">SUM(G43:H47)</f>
        <v>0</v>
      </c>
      <c r="H48" s="1000"/>
      <c r="I48" s="1075">
        <f aca="true" t="shared" si="26" ref="I48">SUM(I43:J47)</f>
        <v>0</v>
      </c>
      <c r="J48" s="1076"/>
      <c r="K48" s="469"/>
      <c r="L48" s="468">
        <f>SUM(C48:J48)</f>
        <v>0</v>
      </c>
      <c r="N48" s="460"/>
      <c r="S48" s="111"/>
      <c r="T48" s="129"/>
      <c r="U48" s="1082"/>
      <c r="V48" s="1083"/>
      <c r="W48" s="1082"/>
      <c r="X48" s="1083"/>
      <c r="Y48" s="1082"/>
      <c r="Z48" s="1083"/>
      <c r="AA48" s="1080"/>
      <c r="AB48" s="1081"/>
      <c r="AC48" s="600"/>
      <c r="AD48" s="601"/>
      <c r="AE48" s="601"/>
      <c r="AF48" s="601"/>
      <c r="AG48" s="603"/>
      <c r="AH48" s="602"/>
      <c r="AK48" s="594"/>
      <c r="AL48" s="594"/>
      <c r="AM48" s="594"/>
      <c r="AN48" s="594"/>
    </row>
    <row r="49" spans="1:40" ht="18" customHeight="1" hidden="1">
      <c r="A49" s="888"/>
      <c r="B49" s="888"/>
      <c r="C49" s="990"/>
      <c r="D49" s="990"/>
      <c r="E49" s="990"/>
      <c r="F49" s="990"/>
      <c r="G49" s="990"/>
      <c r="H49" s="990"/>
      <c r="I49" s="913"/>
      <c r="J49" s="913"/>
      <c r="S49" s="111">
        <v>31</v>
      </c>
      <c r="T49" s="129" t="s">
        <v>180</v>
      </c>
      <c r="U49" s="883"/>
      <c r="V49" s="884"/>
      <c r="W49" s="883"/>
      <c r="X49" s="884"/>
      <c r="Y49" s="883"/>
      <c r="Z49" s="884"/>
      <c r="AA49" s="883"/>
      <c r="AB49" s="884"/>
      <c r="AC49" s="604"/>
      <c r="AD49" s="605"/>
      <c r="AE49" s="605"/>
      <c r="AF49" s="605"/>
      <c r="AG49" s="605"/>
      <c r="AH49" s="567" t="str">
        <f>IF(OR(검정고시_석차백분율="",학력선택&lt;&gt;"검정고시합격"),".",ROUND(AH72*(100-검정고시_석차백분율)/100,2))</f>
        <v>.</v>
      </c>
      <c r="AK49" s="594"/>
      <c r="AL49" s="594"/>
      <c r="AM49" s="594"/>
      <c r="AN49" s="594"/>
    </row>
    <row r="50" spans="1:40" ht="18" customHeight="1" hidden="1">
      <c r="A50" s="464"/>
      <c r="B50" s="995" t="s">
        <v>681</v>
      </c>
      <c r="C50" s="991" t="s">
        <v>315</v>
      </c>
      <c r="D50" s="992"/>
      <c r="E50" s="991" t="s">
        <v>320</v>
      </c>
      <c r="F50" s="992"/>
      <c r="G50" s="991" t="s">
        <v>325</v>
      </c>
      <c r="H50" s="992"/>
      <c r="I50" s="912"/>
      <c r="J50" s="913"/>
      <c r="S50" s="111">
        <v>32</v>
      </c>
      <c r="T50" s="129" t="s">
        <v>763</v>
      </c>
      <c r="U50" s="883"/>
      <c r="V50" s="884"/>
      <c r="W50" s="883"/>
      <c r="X50" s="884"/>
      <c r="Y50" s="883"/>
      <c r="Z50" s="884"/>
      <c r="AA50" s="883"/>
      <c r="AB50" s="884"/>
      <c r="AC50" s="604"/>
      <c r="AD50" s="605"/>
      <c r="AE50" s="605"/>
      <c r="AF50" s="605"/>
      <c r="AG50" s="605"/>
      <c r="AH50" s="567" t="str">
        <f>IF(OR(검정고시_석차백분율="",학력선택&lt;&gt;"검정고시합격"),".",ROUND(AH73*(100-검정고시_석차백분율)/100,2))</f>
        <v>.</v>
      </c>
      <c r="AK50" s="594"/>
      <c r="AL50" s="594"/>
      <c r="AM50" s="594"/>
      <c r="AN50" s="594"/>
    </row>
    <row r="51" spans="1:49" ht="18" customHeight="1" hidden="1">
      <c r="A51" s="464"/>
      <c r="B51" s="996"/>
      <c r="C51" s="991" t="s">
        <v>316</v>
      </c>
      <c r="D51" s="992"/>
      <c r="E51" s="991" t="s">
        <v>321</v>
      </c>
      <c r="F51" s="992"/>
      <c r="G51" s="991" t="s">
        <v>326</v>
      </c>
      <c r="H51" s="992"/>
      <c r="I51" s="912"/>
      <c r="J51" s="913"/>
      <c r="S51" s="111">
        <v>33</v>
      </c>
      <c r="T51" s="129" t="s">
        <v>181</v>
      </c>
      <c r="U51" s="883"/>
      <c r="V51" s="884"/>
      <c r="W51" s="883"/>
      <c r="X51" s="884"/>
      <c r="Y51" s="883"/>
      <c r="Z51" s="884"/>
      <c r="AA51" s="883"/>
      <c r="AB51" s="884"/>
      <c r="AC51" s="604"/>
      <c r="AD51" s="605"/>
      <c r="AE51" s="605"/>
      <c r="AF51" s="605"/>
      <c r="AG51" s="605"/>
      <c r="AH51" s="567" t="str">
        <f>IF(OR(검정고시_석차백분율="",학력선택&lt;&gt;"검정고시합격"),".",ROUND(AH74*(100-검정고시_석차백분율)/100,2))</f>
        <v>.</v>
      </c>
      <c r="AI51" s="127"/>
      <c r="AJ51" s="263"/>
      <c r="AK51" s="594"/>
      <c r="AL51" s="594"/>
      <c r="AM51" s="594"/>
      <c r="AN51" s="594"/>
      <c r="AU51" s="127"/>
      <c r="AV51" s="127"/>
      <c r="AW51" s="127"/>
    </row>
    <row r="52" spans="1:49" ht="18" customHeight="1" hidden="1" thickBot="1">
      <c r="A52" s="464"/>
      <c r="B52" s="996"/>
      <c r="C52" s="991" t="s">
        <v>317</v>
      </c>
      <c r="D52" s="992"/>
      <c r="E52" s="991" t="s">
        <v>322</v>
      </c>
      <c r="F52" s="992"/>
      <c r="G52" s="991" t="s">
        <v>327</v>
      </c>
      <c r="H52" s="992"/>
      <c r="I52" s="912"/>
      <c r="J52" s="913"/>
      <c r="S52" s="295">
        <v>34</v>
      </c>
      <c r="T52" s="296" t="s">
        <v>182</v>
      </c>
      <c r="U52" s="1003"/>
      <c r="V52" s="1004"/>
      <c r="W52" s="1003"/>
      <c r="X52" s="1004"/>
      <c r="Y52" s="1003"/>
      <c r="Z52" s="1004"/>
      <c r="AA52" s="1003"/>
      <c r="AB52" s="1004"/>
      <c r="AC52" s="606"/>
      <c r="AD52" s="634"/>
      <c r="AE52" s="634"/>
      <c r="AF52" s="634"/>
      <c r="AG52" s="634"/>
      <c r="AH52" s="567" t="str">
        <f>IF(OR(검정고시_석차백분율="",학력선택&lt;&gt;"검정고시합격"),".",ROUND(AH75*(100-검정고시_석차백분율)/100,2))</f>
        <v>.</v>
      </c>
      <c r="AI52" s="127"/>
      <c r="AJ52" s="263"/>
      <c r="AK52" s="594"/>
      <c r="AL52" s="594"/>
      <c r="AM52" s="594"/>
      <c r="AN52" s="594"/>
      <c r="AR52" s="127"/>
      <c r="AS52" s="127"/>
      <c r="AT52" s="127"/>
      <c r="AU52" s="127"/>
      <c r="AV52" s="127"/>
      <c r="AW52" s="127"/>
    </row>
    <row r="53" spans="1:46" ht="18" customHeight="1" hidden="1" thickBot="1">
      <c r="A53" s="464"/>
      <c r="B53" s="996"/>
      <c r="C53" s="991" t="s">
        <v>318</v>
      </c>
      <c r="D53" s="992"/>
      <c r="E53" s="991" t="s">
        <v>323</v>
      </c>
      <c r="F53" s="992"/>
      <c r="G53" s="993"/>
      <c r="H53" s="888"/>
      <c r="I53" s="913"/>
      <c r="J53" s="913"/>
      <c r="P53" s="1066" t="s">
        <v>509</v>
      </c>
      <c r="Q53" s="1066"/>
      <c r="R53" s="1066"/>
      <c r="S53" s="297">
        <f>IF(OR(학력선택번호="",전형구분선택번호=""),"",VALUE(학력선택번호&amp;1))</f>
        <v>11</v>
      </c>
      <c r="T53" s="566" t="str">
        <f>_xlfn.IFERROR(VLOOKUP($S53,유형별_학기별_교과점수,T$55,0),"")</f>
        <v>졸업예정_일반전형</v>
      </c>
      <c r="U53" s="1001"/>
      <c r="V53" s="1002"/>
      <c r="W53" s="1002"/>
      <c r="X53" s="1002"/>
      <c r="Y53" s="1002"/>
      <c r="Z53" s="1002"/>
      <c r="AA53" s="1002"/>
      <c r="AB53" s="1012"/>
      <c r="AC53" s="607" t="str">
        <f>_xlfn.IFERROR(VLOOKUP($S53,유형별_학기별_교과점수,AC$55,0),".")</f>
        <v>.</v>
      </c>
      <c r="AD53" s="635" t="str">
        <f aca="true" t="shared" si="27" ref="AD53:AG53">_xlfn.IFERROR(VLOOKUP($S53,유형별_학기별_교과점수,AD$55,0),"")</f>
        <v/>
      </c>
      <c r="AE53" s="636" t="str">
        <f t="shared" si="27"/>
        <v/>
      </c>
      <c r="AF53" s="636" t="str">
        <f t="shared" si="27"/>
        <v/>
      </c>
      <c r="AG53" s="637">
        <f t="shared" si="27"/>
        <v>0</v>
      </c>
      <c r="AH53" s="608" t="str">
        <f>_xlfn.IFERROR(VLOOKUP($S53,유형별_학기별_교과점수,AH$55,0),".")</f>
        <v>.</v>
      </c>
      <c r="AK53" s="594"/>
      <c r="AL53" s="594"/>
      <c r="AM53" s="594"/>
      <c r="AN53" s="594"/>
      <c r="AR53" s="127"/>
      <c r="AS53" s="127"/>
      <c r="AT53" s="127"/>
    </row>
    <row r="54" spans="1:40" ht="18" customHeight="1" hidden="1" thickBot="1">
      <c r="A54" s="464"/>
      <c r="B54" s="997"/>
      <c r="C54" s="991" t="s">
        <v>319</v>
      </c>
      <c r="D54" s="992"/>
      <c r="E54" s="991" t="s">
        <v>324</v>
      </c>
      <c r="F54" s="992"/>
      <c r="G54" s="912"/>
      <c r="H54" s="913"/>
      <c r="I54" s="913"/>
      <c r="J54" s="913"/>
      <c r="P54" s="1066" t="s">
        <v>760</v>
      </c>
      <c r="Q54" s="1066"/>
      <c r="R54" s="1066"/>
      <c r="S54" s="297">
        <f>IF(OR(학력선택번호="",전형구분선택번호="",전형구분선택="일반전형"),".",학력_전형구분_코드)</f>
        <v>12</v>
      </c>
      <c r="T54" s="566" t="str">
        <f>_xlfn.IFERROR(VLOOKUP($S54,유형별_학기별_교과점수,T$55,0),".")</f>
        <v>졸업예정_특별전형</v>
      </c>
      <c r="U54" s="1071"/>
      <c r="V54" s="886"/>
      <c r="W54" s="886"/>
      <c r="X54" s="886"/>
      <c r="Y54" s="886"/>
      <c r="Z54" s="886"/>
      <c r="AA54" s="886"/>
      <c r="AB54" s="887"/>
      <c r="AC54" s="608" t="str">
        <f>_xlfn.IFERROR(VLOOKUP($S54,유형별_학기별_교과점수,AC$55,0),".")</f>
        <v>.</v>
      </c>
      <c r="AD54" s="635" t="str">
        <f>_xlfn.IFERROR(VLOOKUP($S54,유형별_학기별_교과점수,AD$55,0),".")</f>
        <v/>
      </c>
      <c r="AE54" s="636" t="str">
        <f>_xlfn.IFERROR(VLOOKUP($S54,유형별_학기별_교과점수,AE$55,0),".")</f>
        <v/>
      </c>
      <c r="AF54" s="636" t="str">
        <f>_xlfn.IFERROR(VLOOKUP($S54,유형별_학기별_교과점수,AF$55,0),".")</f>
        <v/>
      </c>
      <c r="AG54" s="637">
        <f>_xlfn.IFERROR(VLOOKUP($S54,유형별_학기별_교과점수,AG$55,0),".")</f>
        <v>0</v>
      </c>
      <c r="AH54" s="608" t="str">
        <f>_xlfn.IFERROR(VLOOKUP($S54,유형별_학기별_교과점수,AH$55,0),".")</f>
        <v>.</v>
      </c>
      <c r="AK54" s="594"/>
      <c r="AL54" s="594"/>
      <c r="AM54" s="594"/>
      <c r="AN54" s="594"/>
    </row>
    <row r="55" spans="16:40" ht="18" customHeight="1" hidden="1">
      <c r="P55" s="1065" t="s">
        <v>815</v>
      </c>
      <c r="Q55" s="1065"/>
      <c r="R55" s="1065"/>
      <c r="S55" s="631">
        <v>1</v>
      </c>
      <c r="T55" s="632">
        <v>2</v>
      </c>
      <c r="U55" s="885">
        <v>3</v>
      </c>
      <c r="V55" s="885"/>
      <c r="W55" s="885">
        <v>5</v>
      </c>
      <c r="X55" s="885"/>
      <c r="Y55" s="885">
        <v>7</v>
      </c>
      <c r="Z55" s="885"/>
      <c r="AA55" s="885">
        <v>9</v>
      </c>
      <c r="AB55" s="885"/>
      <c r="AC55" s="595">
        <v>11</v>
      </c>
      <c r="AD55" s="595">
        <v>12</v>
      </c>
      <c r="AE55" s="595">
        <v>13</v>
      </c>
      <c r="AF55" s="595">
        <v>14</v>
      </c>
      <c r="AG55" s="595">
        <v>15</v>
      </c>
      <c r="AH55" s="595">
        <v>16</v>
      </c>
      <c r="AK55" s="594"/>
      <c r="AL55" s="594"/>
      <c r="AM55" s="594"/>
      <c r="AN55" s="594"/>
    </row>
    <row r="56" spans="1:40" ht="18" customHeight="1" hidden="1">
      <c r="A56" s="889" t="s">
        <v>342</v>
      </c>
      <c r="B56" s="890"/>
      <c r="C56" s="857" t="s">
        <v>185</v>
      </c>
      <c r="D56" s="857"/>
      <c r="E56" s="857" t="s">
        <v>186</v>
      </c>
      <c r="F56" s="857"/>
      <c r="G56" s="857" t="s">
        <v>187</v>
      </c>
      <c r="H56" s="857"/>
      <c r="I56" s="857" t="s">
        <v>188</v>
      </c>
      <c r="J56" s="857"/>
      <c r="P56" s="1062" t="s">
        <v>510</v>
      </c>
      <c r="Q56" s="1062"/>
      <c r="R56" s="1062"/>
      <c r="S56" s="292">
        <f>IF(OR(학력선택번호="",전형구분선택번호=""),"",학력_전형구분_코드)</f>
        <v>12</v>
      </c>
      <c r="T56" s="293" t="str">
        <f>_xlfn.IFERROR(VLOOKUP(S56,유형별_학기별_교과점수,T$55,0),"")</f>
        <v>졸업예정_특별전형</v>
      </c>
      <c r="U56" s="633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  <c r="AF56" s="485"/>
      <c r="AG56" s="485"/>
      <c r="AH56" s="485"/>
      <c r="AK56" s="594"/>
      <c r="AL56" s="594"/>
      <c r="AM56" s="594"/>
      <c r="AN56" s="594"/>
    </row>
    <row r="57" spans="1:40" ht="18" customHeight="1" hidden="1">
      <c r="A57" s="891"/>
      <c r="B57" s="892"/>
      <c r="C57" s="857" t="s">
        <v>164</v>
      </c>
      <c r="D57" s="857"/>
      <c r="E57" s="857" t="s">
        <v>164</v>
      </c>
      <c r="F57" s="857"/>
      <c r="G57" s="857" t="s">
        <v>164</v>
      </c>
      <c r="H57" s="857"/>
      <c r="I57" s="857" t="s">
        <v>164</v>
      </c>
      <c r="J57" s="857"/>
      <c r="P57" s="291"/>
      <c r="Q57" s="291"/>
      <c r="R57" s="291"/>
      <c r="S57" s="380"/>
      <c r="T57" s="609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K57" s="594"/>
      <c r="AL57" s="594"/>
      <c r="AM57" s="594"/>
      <c r="AN57" s="594"/>
    </row>
    <row r="58" spans="1:40" ht="18" customHeight="1" hidden="1">
      <c r="A58" s="858" t="s">
        <v>343</v>
      </c>
      <c r="B58" s="858"/>
      <c r="C58" s="857">
        <f>IF(OR(성적유무_21=FALSE,학력선택="검정고시합격"),"",C11)</f>
        <v>0</v>
      </c>
      <c r="D58" s="857"/>
      <c r="E58" s="857">
        <f>IF(OR(성적유무_22=FALSE,학력선택="검정고시합격"),"",E11)</f>
        <v>0</v>
      </c>
      <c r="F58" s="857"/>
      <c r="G58" s="857">
        <f>IF(OR(성적유무_31=FALSE,학력선택="검정고시합격"),"",G11)</f>
        <v>0</v>
      </c>
      <c r="H58" s="857"/>
      <c r="I58" s="857" t="str">
        <f>IF(OR(성적유무_32=FALSE,학력선택&lt;&gt;"졸업"),"",I11)</f>
        <v/>
      </c>
      <c r="J58" s="857"/>
      <c r="P58" s="282"/>
      <c r="Q58" s="282"/>
      <c r="R58" s="282"/>
      <c r="S58" s="281"/>
      <c r="T58" s="485"/>
      <c r="AK58" s="594"/>
      <c r="AL58" s="594"/>
      <c r="AM58" s="594"/>
      <c r="AN58" s="594"/>
    </row>
    <row r="59" spans="1:40" ht="18" customHeight="1" hidden="1">
      <c r="A59" s="858" t="s">
        <v>345</v>
      </c>
      <c r="B59" s="858"/>
      <c r="C59" s="857">
        <f>IF(OR(성적유무_21=FALSE,학력선택="검정고시합격"),"",C13)</f>
        <v>0</v>
      </c>
      <c r="D59" s="857"/>
      <c r="E59" s="857">
        <f>IF(OR(성적유무_22=FALSE,학력선택="검정고시합격"),"",E13)</f>
        <v>0</v>
      </c>
      <c r="F59" s="857"/>
      <c r="G59" s="857">
        <f>IF(OR(성적유무_31=FALSE,학력선택="검정고시합격"),"",G13)</f>
        <v>0</v>
      </c>
      <c r="H59" s="857"/>
      <c r="I59" s="857" t="str">
        <f>IF(OR(성적유무_32=FALSE,학력선택&lt;&gt;"졸업"),"",I13)</f>
        <v/>
      </c>
      <c r="J59" s="857"/>
      <c r="P59" s="1063"/>
      <c r="Q59" s="1063"/>
      <c r="R59" s="1063"/>
      <c r="S59" s="281"/>
      <c r="T59" s="485"/>
      <c r="AD59" s="1009" t="s">
        <v>831</v>
      </c>
      <c r="AE59" s="1009"/>
      <c r="AF59" s="1009"/>
      <c r="AK59" s="594"/>
      <c r="AL59" s="594"/>
      <c r="AM59" s="594"/>
      <c r="AN59" s="594"/>
    </row>
    <row r="60" spans="1:40" ht="18" customHeight="1" hidden="1">
      <c r="A60" s="858" t="s">
        <v>344</v>
      </c>
      <c r="B60" s="858"/>
      <c r="C60" s="857">
        <f>IF(OR(성적유무_21=FALSE,학력선택="검정고시합격"),"",C14)</f>
        <v>0</v>
      </c>
      <c r="D60" s="857"/>
      <c r="E60" s="857">
        <f>IF(OR(성적유무_22=FALSE,학력선택="검정고시합격"),"",E14)</f>
        <v>0</v>
      </c>
      <c r="F60" s="857"/>
      <c r="G60" s="857">
        <f>IF(OR(성적유무_31=FALSE,학력선택="검정고시합격"),"",G14)</f>
        <v>0</v>
      </c>
      <c r="H60" s="857"/>
      <c r="I60" s="857" t="str">
        <f>IF(OR(성적유무_32=FALSE,학력선택&lt;&gt;"졸업"),"",I14)</f>
        <v/>
      </c>
      <c r="J60" s="857"/>
      <c r="Q60" s="276"/>
      <c r="S60" s="490" t="s">
        <v>675</v>
      </c>
      <c r="U60" s="627"/>
      <c r="V60" s="628"/>
      <c r="W60" s="628"/>
      <c r="X60" s="628"/>
      <c r="Y60" s="628"/>
      <c r="Z60" s="628"/>
      <c r="AA60" s="628"/>
      <c r="AB60" s="629"/>
      <c r="AC60" s="630"/>
      <c r="AD60" s="641">
        <v>20</v>
      </c>
      <c r="AE60" s="641">
        <v>10</v>
      </c>
      <c r="AF60" s="641">
        <v>20</v>
      </c>
      <c r="AG60" s="893" t="s">
        <v>798</v>
      </c>
      <c r="AH60" s="1005" t="s">
        <v>685</v>
      </c>
      <c r="AK60" s="594"/>
      <c r="AL60" s="594"/>
      <c r="AM60" s="594"/>
      <c r="AN60" s="594"/>
    </row>
    <row r="61" spans="1:53" s="127" customFormat="1" ht="27">
      <c r="A61" s="888"/>
      <c r="B61" s="888"/>
      <c r="C61" s="888"/>
      <c r="D61" s="888"/>
      <c r="E61" s="888"/>
      <c r="F61" s="888"/>
      <c r="G61" s="888"/>
      <c r="H61" s="888"/>
      <c r="I61" s="888"/>
      <c r="J61" s="888"/>
      <c r="K61" s="17"/>
      <c r="L61" s="17"/>
      <c r="M61" s="17"/>
      <c r="N61" s="17"/>
      <c r="O61" s="128"/>
      <c r="P61" s="17"/>
      <c r="Q61" s="276"/>
      <c r="R61" s="21"/>
      <c r="S61" s="18" t="s">
        <v>183</v>
      </c>
      <c r="T61" s="626" t="s">
        <v>179</v>
      </c>
      <c r="U61" s="1010"/>
      <c r="V61" s="1011"/>
      <c r="W61" s="1010"/>
      <c r="X61" s="1011"/>
      <c r="Y61" s="1010"/>
      <c r="Z61" s="1011"/>
      <c r="AA61" s="1010"/>
      <c r="AB61" s="1011"/>
      <c r="AC61" s="562" t="s">
        <v>184</v>
      </c>
      <c r="AD61" s="610" t="s">
        <v>38</v>
      </c>
      <c r="AE61" s="610" t="s">
        <v>797</v>
      </c>
      <c r="AF61" s="610" t="s">
        <v>201</v>
      </c>
      <c r="AG61" s="893"/>
      <c r="AH61" s="1006"/>
      <c r="AI61" s="6"/>
      <c r="AJ61" s="262"/>
      <c r="AK61" s="594"/>
      <c r="AL61" s="594"/>
      <c r="AM61" s="594"/>
      <c r="AN61" s="594"/>
      <c r="AO61" s="6"/>
      <c r="AP61" s="6"/>
      <c r="AQ61" s="6"/>
      <c r="AR61" s="6"/>
      <c r="AS61" s="6"/>
      <c r="AT61" s="6"/>
      <c r="AU61" s="6"/>
      <c r="AV61" s="6"/>
      <c r="AW61" s="6"/>
      <c r="BA61" s="619"/>
    </row>
    <row r="62" spans="1:53" s="127" customFormat="1" ht="18" customHeight="1">
      <c r="A62" s="126"/>
      <c r="B62" s="126"/>
      <c r="C62" s="126"/>
      <c r="D62" s="126"/>
      <c r="E62" s="126"/>
      <c r="F62" s="126"/>
      <c r="K62" s="128"/>
      <c r="L62" s="128"/>
      <c r="M62" s="128"/>
      <c r="N62" s="128"/>
      <c r="O62" s="128"/>
      <c r="P62" s="17"/>
      <c r="Q62" s="209"/>
      <c r="R62" s="21"/>
      <c r="S62" s="111">
        <v>11</v>
      </c>
      <c r="T62" s="129" t="s">
        <v>103</v>
      </c>
      <c r="U62" s="883"/>
      <c r="V62" s="884"/>
      <c r="W62" s="883"/>
      <c r="X62" s="884"/>
      <c r="Y62" s="883"/>
      <c r="Z62" s="884"/>
      <c r="AA62" s="1060"/>
      <c r="AB62" s="1061"/>
      <c r="AC62" s="611">
        <v>150</v>
      </c>
      <c r="AD62" s="67">
        <v>20</v>
      </c>
      <c r="AE62" s="67">
        <v>10</v>
      </c>
      <c r="AF62" s="67">
        <v>20</v>
      </c>
      <c r="AG62" s="567">
        <v>50</v>
      </c>
      <c r="AH62" s="567">
        <v>200</v>
      </c>
      <c r="AI62" s="6"/>
      <c r="AJ62" s="262"/>
      <c r="AK62" s="594"/>
      <c r="AL62" s="594"/>
      <c r="AM62" s="594"/>
      <c r="AN62" s="594"/>
      <c r="AO62" s="6"/>
      <c r="AP62" s="6"/>
      <c r="AQ62" s="6"/>
      <c r="AR62" s="6"/>
      <c r="AS62" s="6"/>
      <c r="AT62" s="6"/>
      <c r="AU62" s="6"/>
      <c r="AV62" s="6"/>
      <c r="AW62" s="6"/>
      <c r="BA62" s="619"/>
    </row>
    <row r="63" spans="17:40" ht="18" customHeight="1">
      <c r="Q63" s="209"/>
      <c r="S63" s="111">
        <v>12</v>
      </c>
      <c r="T63" s="129" t="s">
        <v>761</v>
      </c>
      <c r="U63" s="883"/>
      <c r="V63" s="884"/>
      <c r="W63" s="883"/>
      <c r="X63" s="884"/>
      <c r="Y63" s="883"/>
      <c r="Z63" s="884"/>
      <c r="AA63" s="1060"/>
      <c r="AB63" s="1061"/>
      <c r="AC63" s="611">
        <v>70</v>
      </c>
      <c r="AD63" s="67">
        <v>20</v>
      </c>
      <c r="AE63" s="67">
        <v>10</v>
      </c>
      <c r="AF63" s="67">
        <v>20</v>
      </c>
      <c r="AG63" s="567">
        <v>50</v>
      </c>
      <c r="AH63" s="612">
        <v>120</v>
      </c>
      <c r="AK63" s="594"/>
      <c r="AL63" s="594"/>
      <c r="AM63" s="594"/>
      <c r="AN63" s="594"/>
    </row>
    <row r="64" spans="17:40" ht="18" customHeight="1">
      <c r="Q64" s="209"/>
      <c r="S64" s="111">
        <v>13</v>
      </c>
      <c r="T64" s="129" t="s">
        <v>105</v>
      </c>
      <c r="U64" s="883"/>
      <c r="V64" s="884"/>
      <c r="W64" s="883"/>
      <c r="X64" s="884"/>
      <c r="Y64" s="883"/>
      <c r="Z64" s="884"/>
      <c r="AA64" s="1060"/>
      <c r="AB64" s="1061"/>
      <c r="AC64" s="611">
        <v>70</v>
      </c>
      <c r="AD64" s="613">
        <v>20</v>
      </c>
      <c r="AE64" s="613">
        <v>10</v>
      </c>
      <c r="AF64" s="613">
        <v>20</v>
      </c>
      <c r="AG64" s="614">
        <v>50</v>
      </c>
      <c r="AH64" s="612">
        <v>120</v>
      </c>
      <c r="AK64" s="594"/>
      <c r="AL64" s="594"/>
      <c r="AM64" s="594"/>
      <c r="AN64" s="594"/>
    </row>
    <row r="65" spans="17:40" ht="18" customHeight="1">
      <c r="Q65" s="209"/>
      <c r="S65" s="111">
        <v>14</v>
      </c>
      <c r="T65" s="129" t="s">
        <v>106</v>
      </c>
      <c r="U65" s="883"/>
      <c r="V65" s="884"/>
      <c r="W65" s="883"/>
      <c r="X65" s="884"/>
      <c r="Y65" s="883"/>
      <c r="Z65" s="884"/>
      <c r="AA65" s="1060"/>
      <c r="AB65" s="1061"/>
      <c r="AC65" s="611">
        <v>70</v>
      </c>
      <c r="AD65" s="613">
        <v>20</v>
      </c>
      <c r="AE65" s="613">
        <v>10</v>
      </c>
      <c r="AF65" s="613">
        <v>20</v>
      </c>
      <c r="AG65" s="614">
        <v>50</v>
      </c>
      <c r="AH65" s="612">
        <v>120</v>
      </c>
      <c r="AK65" s="594"/>
      <c r="AL65" s="594"/>
      <c r="AM65" s="594"/>
      <c r="AN65" s="594"/>
    </row>
    <row r="66" spans="14:40" ht="18" customHeight="1">
      <c r="N66" s="276"/>
      <c r="O66" s="274"/>
      <c r="Q66" s="209"/>
      <c r="S66" s="111"/>
      <c r="T66" s="129"/>
      <c r="U66" s="883"/>
      <c r="V66" s="884"/>
      <c r="W66" s="883"/>
      <c r="X66" s="884"/>
      <c r="Y66" s="883"/>
      <c r="Z66" s="884"/>
      <c r="AA66" s="1060"/>
      <c r="AB66" s="1061"/>
      <c r="AC66" s="611"/>
      <c r="AD66" s="613"/>
      <c r="AE66" s="613"/>
      <c r="AF66" s="613"/>
      <c r="AG66" s="614"/>
      <c r="AH66" s="612"/>
      <c r="AK66" s="594"/>
      <c r="AL66" s="594"/>
      <c r="AM66" s="594"/>
      <c r="AN66" s="594"/>
    </row>
    <row r="67" spans="14:40" ht="18" customHeight="1">
      <c r="N67" s="276"/>
      <c r="O67" s="274"/>
      <c r="Q67" s="209"/>
      <c r="S67" s="112">
        <v>21</v>
      </c>
      <c r="T67" s="206" t="s">
        <v>104</v>
      </c>
      <c r="U67" s="883"/>
      <c r="V67" s="884"/>
      <c r="W67" s="883"/>
      <c r="X67" s="884"/>
      <c r="Y67" s="883"/>
      <c r="Z67" s="884"/>
      <c r="AA67" s="883"/>
      <c r="AB67" s="884"/>
      <c r="AC67" s="611">
        <v>150</v>
      </c>
      <c r="AD67" s="613">
        <v>20</v>
      </c>
      <c r="AE67" s="613">
        <v>10</v>
      </c>
      <c r="AF67" s="613">
        <v>20</v>
      </c>
      <c r="AG67" s="614">
        <v>50</v>
      </c>
      <c r="AH67" s="567">
        <v>200</v>
      </c>
      <c r="AK67" s="594"/>
      <c r="AL67" s="594"/>
      <c r="AM67" s="594"/>
      <c r="AN67" s="594"/>
    </row>
    <row r="68" spans="14:40" ht="18" customHeight="1">
      <c r="N68" s="276"/>
      <c r="O68" s="274"/>
      <c r="S68" s="112">
        <v>22</v>
      </c>
      <c r="T68" s="206" t="s">
        <v>767</v>
      </c>
      <c r="U68" s="883"/>
      <c r="V68" s="884"/>
      <c r="W68" s="883"/>
      <c r="X68" s="884"/>
      <c r="Y68" s="883"/>
      <c r="Z68" s="884"/>
      <c r="AA68" s="883"/>
      <c r="AB68" s="884"/>
      <c r="AC68" s="611">
        <v>70</v>
      </c>
      <c r="AD68" s="613">
        <v>20</v>
      </c>
      <c r="AE68" s="613">
        <v>10</v>
      </c>
      <c r="AF68" s="613">
        <v>20</v>
      </c>
      <c r="AG68" s="614">
        <v>50</v>
      </c>
      <c r="AH68" s="612">
        <v>120</v>
      </c>
      <c r="AK68" s="594"/>
      <c r="AL68" s="594"/>
      <c r="AM68" s="594"/>
      <c r="AN68" s="594"/>
    </row>
    <row r="69" spans="14:40" ht="18" customHeight="1">
      <c r="N69" s="276"/>
      <c r="O69" s="274"/>
      <c r="S69" s="112">
        <v>23</v>
      </c>
      <c r="T69" s="206" t="s">
        <v>107</v>
      </c>
      <c r="U69" s="883"/>
      <c r="V69" s="884"/>
      <c r="W69" s="883"/>
      <c r="X69" s="884"/>
      <c r="Y69" s="883"/>
      <c r="Z69" s="884"/>
      <c r="AA69" s="883"/>
      <c r="AB69" s="884"/>
      <c r="AC69" s="611">
        <v>70</v>
      </c>
      <c r="AD69" s="613">
        <v>20</v>
      </c>
      <c r="AE69" s="613">
        <v>10</v>
      </c>
      <c r="AF69" s="613">
        <v>20</v>
      </c>
      <c r="AG69" s="614">
        <v>50</v>
      </c>
      <c r="AH69" s="612">
        <v>120</v>
      </c>
      <c r="AK69" s="594"/>
      <c r="AL69" s="594"/>
      <c r="AM69" s="594"/>
      <c r="AN69" s="594"/>
    </row>
    <row r="70" spans="14:40" ht="18" customHeight="1">
      <c r="N70" s="276"/>
      <c r="O70" s="274"/>
      <c r="S70" s="112">
        <v>24</v>
      </c>
      <c r="T70" s="206" t="s">
        <v>108</v>
      </c>
      <c r="U70" s="883"/>
      <c r="V70" s="884"/>
      <c r="W70" s="883"/>
      <c r="X70" s="884"/>
      <c r="Y70" s="883"/>
      <c r="Z70" s="884"/>
      <c r="AA70" s="883"/>
      <c r="AB70" s="884"/>
      <c r="AC70" s="611">
        <v>70</v>
      </c>
      <c r="AD70" s="67">
        <v>20</v>
      </c>
      <c r="AE70" s="67">
        <v>10</v>
      </c>
      <c r="AF70" s="67">
        <v>20</v>
      </c>
      <c r="AG70" s="567">
        <v>50</v>
      </c>
      <c r="AH70" s="612">
        <v>120</v>
      </c>
      <c r="AK70" s="594"/>
      <c r="AL70" s="594"/>
      <c r="AM70" s="594"/>
      <c r="AN70" s="594"/>
    </row>
    <row r="71" spans="14:40" ht="18" customHeight="1">
      <c r="N71" s="276"/>
      <c r="O71" s="274"/>
      <c r="S71" s="111"/>
      <c r="T71" s="129"/>
      <c r="U71" s="883"/>
      <c r="V71" s="884"/>
      <c r="W71" s="883"/>
      <c r="X71" s="884"/>
      <c r="Y71" s="883"/>
      <c r="Z71" s="884"/>
      <c r="AA71" s="883"/>
      <c r="AB71" s="884"/>
      <c r="AC71" s="611"/>
      <c r="AD71" s="613"/>
      <c r="AE71" s="613"/>
      <c r="AF71" s="613"/>
      <c r="AG71" s="614"/>
      <c r="AH71" s="612"/>
      <c r="AK71" s="594"/>
      <c r="AL71" s="594"/>
      <c r="AM71" s="594"/>
      <c r="AN71" s="594"/>
    </row>
    <row r="72" spans="14:40" ht="18" customHeight="1">
      <c r="N72" s="276"/>
      <c r="O72" s="274"/>
      <c r="S72" s="111">
        <v>31</v>
      </c>
      <c r="T72" s="129" t="s">
        <v>180</v>
      </c>
      <c r="U72" s="883"/>
      <c r="V72" s="884"/>
      <c r="W72" s="883"/>
      <c r="X72" s="884"/>
      <c r="Y72" s="883"/>
      <c r="Z72" s="884"/>
      <c r="AA72" s="883"/>
      <c r="AB72" s="884"/>
      <c r="AC72" s="605"/>
      <c r="AD72" s="605"/>
      <c r="AE72" s="605"/>
      <c r="AF72" s="605"/>
      <c r="AG72" s="605"/>
      <c r="AH72" s="567">
        <v>200</v>
      </c>
      <c r="AK72" s="594"/>
      <c r="AL72" s="594"/>
      <c r="AM72" s="594"/>
      <c r="AN72" s="594"/>
    </row>
    <row r="73" spans="14:40" ht="18" customHeight="1">
      <c r="N73" s="276"/>
      <c r="O73" s="274"/>
      <c r="S73" s="111">
        <v>32</v>
      </c>
      <c r="T73" s="129" t="s">
        <v>763</v>
      </c>
      <c r="U73" s="883"/>
      <c r="V73" s="884"/>
      <c r="W73" s="883"/>
      <c r="X73" s="884"/>
      <c r="Y73" s="883"/>
      <c r="Z73" s="884"/>
      <c r="AA73" s="883"/>
      <c r="AB73" s="884"/>
      <c r="AC73" s="605"/>
      <c r="AD73" s="605"/>
      <c r="AE73" s="605"/>
      <c r="AF73" s="605"/>
      <c r="AG73" s="605"/>
      <c r="AH73" s="612">
        <v>120</v>
      </c>
      <c r="AK73" s="594"/>
      <c r="AL73" s="594"/>
      <c r="AM73" s="594"/>
      <c r="AN73" s="594"/>
    </row>
    <row r="74" spans="19:40" ht="18" customHeight="1">
      <c r="S74" s="111">
        <v>33</v>
      </c>
      <c r="T74" s="129" t="s">
        <v>181</v>
      </c>
      <c r="U74" s="883"/>
      <c r="V74" s="884"/>
      <c r="W74" s="883"/>
      <c r="X74" s="884"/>
      <c r="Y74" s="883"/>
      <c r="Z74" s="884"/>
      <c r="AA74" s="883"/>
      <c r="AB74" s="884"/>
      <c r="AC74" s="605"/>
      <c r="AD74" s="605"/>
      <c r="AE74" s="605"/>
      <c r="AF74" s="605"/>
      <c r="AG74" s="605"/>
      <c r="AH74" s="612">
        <v>120</v>
      </c>
      <c r="AK74" s="594"/>
      <c r="AL74" s="594"/>
      <c r="AM74" s="594"/>
      <c r="AN74" s="594"/>
    </row>
    <row r="75" spans="19:40" ht="18" customHeight="1">
      <c r="S75" s="111">
        <v>34</v>
      </c>
      <c r="T75" s="129" t="s">
        <v>182</v>
      </c>
      <c r="U75" s="883"/>
      <c r="V75" s="884"/>
      <c r="W75" s="883"/>
      <c r="X75" s="884"/>
      <c r="Y75" s="883"/>
      <c r="Z75" s="884"/>
      <c r="AA75" s="883"/>
      <c r="AB75" s="884"/>
      <c r="AC75" s="605"/>
      <c r="AD75" s="605"/>
      <c r="AE75" s="605"/>
      <c r="AF75" s="605"/>
      <c r="AG75" s="605"/>
      <c r="AH75" s="612">
        <v>120</v>
      </c>
      <c r="AK75" s="594"/>
      <c r="AL75" s="594"/>
      <c r="AM75" s="594"/>
      <c r="AN75" s="594"/>
    </row>
    <row r="76" spans="37:40" ht="18" customHeight="1">
      <c r="AK76" s="594"/>
      <c r="AL76" s="594"/>
      <c r="AM76" s="594"/>
      <c r="AN76" s="594"/>
    </row>
    <row r="77" spans="37:40" ht="18" customHeight="1">
      <c r="AK77" s="594"/>
      <c r="AL77" s="594"/>
      <c r="AM77" s="594"/>
      <c r="AN77" s="594"/>
    </row>
    <row r="78" spans="37:40" ht="18" customHeight="1">
      <c r="AK78" s="594"/>
      <c r="AL78" s="594"/>
      <c r="AM78" s="594"/>
      <c r="AN78" s="594"/>
    </row>
    <row r="79" spans="37:40" ht="18" customHeight="1">
      <c r="AK79" s="594"/>
      <c r="AL79" s="594"/>
      <c r="AM79" s="594"/>
      <c r="AN79" s="594"/>
    </row>
    <row r="80" spans="37:40" ht="18" customHeight="1">
      <c r="AK80" s="594"/>
      <c r="AL80" s="594"/>
      <c r="AM80" s="594"/>
      <c r="AN80" s="594"/>
    </row>
    <row r="81" spans="37:40" ht="18" customHeight="1">
      <c r="AK81" s="594"/>
      <c r="AL81" s="594"/>
      <c r="AM81" s="594"/>
      <c r="AN81" s="594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 algorithmName="SHA-512" hashValue="c6KI9DdIRlc3sCt4xAIkPY1m45QgA8EDc5XHevzGxSUcNaMHGHp2Bt2tZG5gnQ8hsNhj3XgZbFqPyEpz9184uA==" saltValue="j+0E+P1JKrHXdMvjLePmIw==" spinCount="100000" sheet="1" objects="1" scenarios="1"/>
  <mergeCells count="546">
    <mergeCell ref="Y43:Z43"/>
    <mergeCell ref="AA43:AB43"/>
    <mergeCell ref="AA42:AB42"/>
    <mergeCell ref="Y41:Z41"/>
    <mergeCell ref="AA45:AB45"/>
    <mergeCell ref="AA48:AB48"/>
    <mergeCell ref="Y48:Z48"/>
    <mergeCell ref="W48:X48"/>
    <mergeCell ref="U48:V48"/>
    <mergeCell ref="W45:X45"/>
    <mergeCell ref="AA47:AB47"/>
    <mergeCell ref="U43:V43"/>
    <mergeCell ref="W43:X43"/>
    <mergeCell ref="U42:V42"/>
    <mergeCell ref="W42:X42"/>
    <mergeCell ref="Y42:Z42"/>
    <mergeCell ref="W46:X46"/>
    <mergeCell ref="Y46:Z46"/>
    <mergeCell ref="AA46:AB46"/>
    <mergeCell ref="W47:X47"/>
    <mergeCell ref="Y47:Z47"/>
    <mergeCell ref="AA44:AB44"/>
    <mergeCell ref="U47:V47"/>
    <mergeCell ref="U46:V46"/>
    <mergeCell ref="E39:F39"/>
    <mergeCell ref="E42:F42"/>
    <mergeCell ref="P53:R53"/>
    <mergeCell ref="G39:J39"/>
    <mergeCell ref="G41:H41"/>
    <mergeCell ref="I41:J41"/>
    <mergeCell ref="G42:H42"/>
    <mergeCell ref="I42:J42"/>
    <mergeCell ref="I43:J43"/>
    <mergeCell ref="G43:H43"/>
    <mergeCell ref="G44:H44"/>
    <mergeCell ref="G52:H52"/>
    <mergeCell ref="I47:J47"/>
    <mergeCell ref="G48:H48"/>
    <mergeCell ref="I48:J48"/>
    <mergeCell ref="L41:L42"/>
    <mergeCell ref="N41:N42"/>
    <mergeCell ref="E53:F53"/>
    <mergeCell ref="L39:M39"/>
    <mergeCell ref="P39:Q39"/>
    <mergeCell ref="E44:F44"/>
    <mergeCell ref="G45:H45"/>
    <mergeCell ref="E49:F49"/>
    <mergeCell ref="G49:H49"/>
    <mergeCell ref="U66:V66"/>
    <mergeCell ref="W66:X66"/>
    <mergeCell ref="Y66:Z66"/>
    <mergeCell ref="A1:C1"/>
    <mergeCell ref="W55:X55"/>
    <mergeCell ref="U55:V55"/>
    <mergeCell ref="P55:R55"/>
    <mergeCell ref="P54:R54"/>
    <mergeCell ref="E23:F23"/>
    <mergeCell ref="G23:H23"/>
    <mergeCell ref="I23:J23"/>
    <mergeCell ref="E24:F24"/>
    <mergeCell ref="E38:F38"/>
    <mergeCell ref="L38:M38"/>
    <mergeCell ref="L37:Q37"/>
    <mergeCell ref="U54:V54"/>
    <mergeCell ref="W54:X54"/>
    <mergeCell ref="U7:V7"/>
    <mergeCell ref="E50:F50"/>
    <mergeCell ref="G50:H50"/>
    <mergeCell ref="C52:D52"/>
    <mergeCell ref="E52:F52"/>
    <mergeCell ref="A48:B48"/>
    <mergeCell ref="A49:B49"/>
    <mergeCell ref="U62:V62"/>
    <mergeCell ref="W62:X62"/>
    <mergeCell ref="Y62:Z62"/>
    <mergeCell ref="P56:R56"/>
    <mergeCell ref="AA62:AB62"/>
    <mergeCell ref="AA61:AB61"/>
    <mergeCell ref="W65:X65"/>
    <mergeCell ref="AA64:AB64"/>
    <mergeCell ref="U63:V63"/>
    <mergeCell ref="Y64:Z64"/>
    <mergeCell ref="AA65:AB65"/>
    <mergeCell ref="P59:R59"/>
    <mergeCell ref="U72:V72"/>
    <mergeCell ref="W72:X72"/>
    <mergeCell ref="Y72:Z72"/>
    <mergeCell ref="W63:X63"/>
    <mergeCell ref="G56:H56"/>
    <mergeCell ref="Y44:Z44"/>
    <mergeCell ref="Y45:Z45"/>
    <mergeCell ref="AA72:AB72"/>
    <mergeCell ref="Y63:Z63"/>
    <mergeCell ref="AA63:AB63"/>
    <mergeCell ref="U64:V64"/>
    <mergeCell ref="W64:X64"/>
    <mergeCell ref="AA68:AB68"/>
    <mergeCell ref="Y65:Z65"/>
    <mergeCell ref="U65:V65"/>
    <mergeCell ref="W69:X69"/>
    <mergeCell ref="AA66:AB66"/>
    <mergeCell ref="W67:X67"/>
    <mergeCell ref="Y67:Z67"/>
    <mergeCell ref="AA67:AB67"/>
    <mergeCell ref="U67:V67"/>
    <mergeCell ref="U71:V71"/>
    <mergeCell ref="U61:V61"/>
    <mergeCell ref="W61:X61"/>
    <mergeCell ref="U75:V75"/>
    <mergeCell ref="W75:X75"/>
    <mergeCell ref="Y75:Z75"/>
    <mergeCell ref="W73:X73"/>
    <mergeCell ref="Y73:Z73"/>
    <mergeCell ref="AA74:AB74"/>
    <mergeCell ref="AA73:AB73"/>
    <mergeCell ref="U74:V74"/>
    <mergeCell ref="W74:X74"/>
    <mergeCell ref="AA75:AB75"/>
    <mergeCell ref="Y74:Z74"/>
    <mergeCell ref="U73:V73"/>
    <mergeCell ref="W71:X71"/>
    <mergeCell ref="Y71:Z71"/>
    <mergeCell ref="AA71:AB71"/>
    <mergeCell ref="U68:V68"/>
    <mergeCell ref="U70:V70"/>
    <mergeCell ref="W70:X70"/>
    <mergeCell ref="W68:X68"/>
    <mergeCell ref="Y69:Z69"/>
    <mergeCell ref="AA69:AB69"/>
    <mergeCell ref="U69:V69"/>
    <mergeCell ref="Y70:Z70"/>
    <mergeCell ref="AA70:AB70"/>
    <mergeCell ref="Y68:Z68"/>
    <mergeCell ref="C30:D30"/>
    <mergeCell ref="I31:J31"/>
    <mergeCell ref="E28:F28"/>
    <mergeCell ref="C31:D31"/>
    <mergeCell ref="E31:F31"/>
    <mergeCell ref="G31:H31"/>
    <mergeCell ref="E27:F27"/>
    <mergeCell ref="E30:F30"/>
    <mergeCell ref="C27:D27"/>
    <mergeCell ref="G28:H28"/>
    <mergeCell ref="I30:J30"/>
    <mergeCell ref="C48:D48"/>
    <mergeCell ref="B50:B54"/>
    <mergeCell ref="U51:V51"/>
    <mergeCell ref="Y51:Z51"/>
    <mergeCell ref="N3:Q3"/>
    <mergeCell ref="C9:D9"/>
    <mergeCell ref="E9:F9"/>
    <mergeCell ref="G9:H9"/>
    <mergeCell ref="I9:J9"/>
    <mergeCell ref="E7:F7"/>
    <mergeCell ref="G7:H7"/>
    <mergeCell ref="C10:D10"/>
    <mergeCell ref="E10:F10"/>
    <mergeCell ref="G10:H10"/>
    <mergeCell ref="I10:J10"/>
    <mergeCell ref="I7:J7"/>
    <mergeCell ref="E8:F8"/>
    <mergeCell ref="G8:H8"/>
    <mergeCell ref="I8:J8"/>
    <mergeCell ref="C5:D5"/>
    <mergeCell ref="E5:F5"/>
    <mergeCell ref="L3:M3"/>
    <mergeCell ref="I5:J5"/>
    <mergeCell ref="A30:B30"/>
    <mergeCell ref="H3:J3"/>
    <mergeCell ref="D3:G3"/>
    <mergeCell ref="B3:C3"/>
    <mergeCell ref="I6:J6"/>
    <mergeCell ref="G6:H6"/>
    <mergeCell ref="C23:D23"/>
    <mergeCell ref="C24:D24"/>
    <mergeCell ref="C25:D25"/>
    <mergeCell ref="I22:J22"/>
    <mergeCell ref="C21:D21"/>
    <mergeCell ref="C8:D8"/>
    <mergeCell ref="C6:D6"/>
    <mergeCell ref="E14:F14"/>
    <mergeCell ref="G14:H14"/>
    <mergeCell ref="I14:J14"/>
    <mergeCell ref="E12:F12"/>
    <mergeCell ref="E11:F11"/>
    <mergeCell ref="G11:H11"/>
    <mergeCell ref="C11:D11"/>
    <mergeCell ref="U24:V24"/>
    <mergeCell ref="U21:V21"/>
    <mergeCell ref="I20:J20"/>
    <mergeCell ref="U23:V23"/>
    <mergeCell ref="G24:H24"/>
    <mergeCell ref="I24:J24"/>
    <mergeCell ref="E25:F25"/>
    <mergeCell ref="Q22:Q23"/>
    <mergeCell ref="E22:F22"/>
    <mergeCell ref="G22:H22"/>
    <mergeCell ref="L22:L23"/>
    <mergeCell ref="P22:P23"/>
    <mergeCell ref="G20:H20"/>
    <mergeCell ref="L20:Q20"/>
    <mergeCell ref="G21:H21"/>
    <mergeCell ref="I21:J21"/>
    <mergeCell ref="O25:O26"/>
    <mergeCell ref="I26:J26"/>
    <mergeCell ref="M22:M23"/>
    <mergeCell ref="N22:N23"/>
    <mergeCell ref="O22:O23"/>
    <mergeCell ref="U26:V26"/>
    <mergeCell ref="U25:V25"/>
    <mergeCell ref="E26:F26"/>
    <mergeCell ref="U18:V18"/>
    <mergeCell ref="E18:F18"/>
    <mergeCell ref="G17:H17"/>
    <mergeCell ref="I16:J16"/>
    <mergeCell ref="U19:V19"/>
    <mergeCell ref="E19:F19"/>
    <mergeCell ref="U20:V20"/>
    <mergeCell ref="G19:H19"/>
    <mergeCell ref="E20:F20"/>
    <mergeCell ref="I19:J19"/>
    <mergeCell ref="U16:V16"/>
    <mergeCell ref="I18:J18"/>
    <mergeCell ref="E17:F17"/>
    <mergeCell ref="E16:F16"/>
    <mergeCell ref="G16:H16"/>
    <mergeCell ref="G18:H18"/>
    <mergeCell ref="T5:T6"/>
    <mergeCell ref="U6:V6"/>
    <mergeCell ref="Y9:Z9"/>
    <mergeCell ref="Y6:Z6"/>
    <mergeCell ref="W6:X6"/>
    <mergeCell ref="U13:V13"/>
    <mergeCell ref="W11:X11"/>
    <mergeCell ref="U5:V5"/>
    <mergeCell ref="Y5:Z5"/>
    <mergeCell ref="A5:A6"/>
    <mergeCell ref="B5:B6"/>
    <mergeCell ref="Y16:Z16"/>
    <mergeCell ref="Y19:Z19"/>
    <mergeCell ref="Y17:Z17"/>
    <mergeCell ref="Y18:Z18"/>
    <mergeCell ref="W18:X18"/>
    <mergeCell ref="G13:H13"/>
    <mergeCell ref="I12:J12"/>
    <mergeCell ref="C13:D13"/>
    <mergeCell ref="C14:D14"/>
    <mergeCell ref="W5:X5"/>
    <mergeCell ref="E6:F6"/>
    <mergeCell ref="L10:Q11"/>
    <mergeCell ref="I11:J11"/>
    <mergeCell ref="I13:J13"/>
    <mergeCell ref="W13:X13"/>
    <mergeCell ref="W14:X14"/>
    <mergeCell ref="E15:F15"/>
    <mergeCell ref="G15:H15"/>
    <mergeCell ref="U9:V9"/>
    <mergeCell ref="L12:O12"/>
    <mergeCell ref="P12:Q12"/>
    <mergeCell ref="I15:J15"/>
    <mergeCell ref="AH60:AH61"/>
    <mergeCell ref="AH37:AH38"/>
    <mergeCell ref="AG60:AG61"/>
    <mergeCell ref="AD59:AF59"/>
    <mergeCell ref="AA24:AB24"/>
    <mergeCell ref="W24:X24"/>
    <mergeCell ref="W25:X25"/>
    <mergeCell ref="AA16:AB16"/>
    <mergeCell ref="AA19:AB19"/>
    <mergeCell ref="AA18:AB18"/>
    <mergeCell ref="AA20:AB20"/>
    <mergeCell ref="W22:X22"/>
    <mergeCell ref="AF16:AI16"/>
    <mergeCell ref="W21:X21"/>
    <mergeCell ref="Y61:Z61"/>
    <mergeCell ref="AA51:AB51"/>
    <mergeCell ref="W53:X53"/>
    <mergeCell ref="Y53:Z53"/>
    <mergeCell ref="AA53:AB53"/>
    <mergeCell ref="W52:X52"/>
    <mergeCell ref="AA50:AB50"/>
    <mergeCell ref="W51:X51"/>
    <mergeCell ref="AA52:AB52"/>
    <mergeCell ref="W49:X49"/>
    <mergeCell ref="U15:V15"/>
    <mergeCell ref="W12:X12"/>
    <mergeCell ref="U12:V12"/>
    <mergeCell ref="W8:X8"/>
    <mergeCell ref="W9:X9"/>
    <mergeCell ref="U11:V11"/>
    <mergeCell ref="U14:V14"/>
    <mergeCell ref="U8:V8"/>
    <mergeCell ref="U10:V10"/>
    <mergeCell ref="W10:X10"/>
    <mergeCell ref="E48:F48"/>
    <mergeCell ref="I44:J44"/>
    <mergeCell ref="Y54:Z54"/>
    <mergeCell ref="U45:V45"/>
    <mergeCell ref="G47:H47"/>
    <mergeCell ref="E46:F46"/>
    <mergeCell ref="G46:H46"/>
    <mergeCell ref="I46:J46"/>
    <mergeCell ref="U49:V49"/>
    <mergeCell ref="E54:F54"/>
    <mergeCell ref="Y50:Z50"/>
    <mergeCell ref="U50:V50"/>
    <mergeCell ref="U53:V53"/>
    <mergeCell ref="U52:V52"/>
    <mergeCell ref="I53:J53"/>
    <mergeCell ref="Y49:Z49"/>
    <mergeCell ref="Y52:Z52"/>
    <mergeCell ref="C42:D42"/>
    <mergeCell ref="C43:D43"/>
    <mergeCell ref="C44:D44"/>
    <mergeCell ref="C45:D45"/>
    <mergeCell ref="A43:A47"/>
    <mergeCell ref="I45:J45"/>
    <mergeCell ref="C46:D46"/>
    <mergeCell ref="E43:F43"/>
    <mergeCell ref="C41:D41"/>
    <mergeCell ref="E41:F41"/>
    <mergeCell ref="C47:D47"/>
    <mergeCell ref="A41:B42"/>
    <mergeCell ref="E45:F45"/>
    <mergeCell ref="E47:F47"/>
    <mergeCell ref="C49:D49"/>
    <mergeCell ref="C51:D51"/>
    <mergeCell ref="E51:F51"/>
    <mergeCell ref="G53:H53"/>
    <mergeCell ref="I49:J49"/>
    <mergeCell ref="I50:J50"/>
    <mergeCell ref="G51:H51"/>
    <mergeCell ref="C57:D57"/>
    <mergeCell ref="E57:F57"/>
    <mergeCell ref="I56:J56"/>
    <mergeCell ref="C50:D50"/>
    <mergeCell ref="C53:D53"/>
    <mergeCell ref="G54:H54"/>
    <mergeCell ref="I54:J54"/>
    <mergeCell ref="C54:D54"/>
    <mergeCell ref="U31:V31"/>
    <mergeCell ref="U28:V28"/>
    <mergeCell ref="I28:J28"/>
    <mergeCell ref="L25:L28"/>
    <mergeCell ref="M25:M26"/>
    <mergeCell ref="Q25:Q26"/>
    <mergeCell ref="P25:P26"/>
    <mergeCell ref="N25:N26"/>
    <mergeCell ref="M30:P30"/>
    <mergeCell ref="U29:V29"/>
    <mergeCell ref="U27:V27"/>
    <mergeCell ref="U30:V30"/>
    <mergeCell ref="I25:J25"/>
    <mergeCell ref="I27:J27"/>
    <mergeCell ref="W31:X31"/>
    <mergeCell ref="AA33:AB33"/>
    <mergeCell ref="A37:J37"/>
    <mergeCell ref="A38:B38"/>
    <mergeCell ref="A39:B39"/>
    <mergeCell ref="Y38:Z38"/>
    <mergeCell ref="Y39:Z39"/>
    <mergeCell ref="A33:B33"/>
    <mergeCell ref="C33:D33"/>
    <mergeCell ref="C34:D35"/>
    <mergeCell ref="G38:J38"/>
    <mergeCell ref="C38:D38"/>
    <mergeCell ref="C39:D39"/>
    <mergeCell ref="M31:Q31"/>
    <mergeCell ref="U37:AB37"/>
    <mergeCell ref="Y31:Z31"/>
    <mergeCell ref="AA31:AB31"/>
    <mergeCell ref="AA38:AB38"/>
    <mergeCell ref="W39:X39"/>
    <mergeCell ref="Y33:Z33"/>
    <mergeCell ref="U33:V33"/>
    <mergeCell ref="F33:H33"/>
    <mergeCell ref="A31:B31"/>
    <mergeCell ref="A34:B35"/>
    <mergeCell ref="AP6:AS7"/>
    <mergeCell ref="Y10:Z10"/>
    <mergeCell ref="AF11:AG11"/>
    <mergeCell ref="AF14:AG14"/>
    <mergeCell ref="Y13:Z13"/>
    <mergeCell ref="Y11:Z11"/>
    <mergeCell ref="Y12:Z12"/>
    <mergeCell ref="AY7:AY9"/>
    <mergeCell ref="AA14:AB14"/>
    <mergeCell ref="AA13:AB13"/>
    <mergeCell ref="AF10:AI10"/>
    <mergeCell ref="AA11:AB11"/>
    <mergeCell ref="Y14:Z14"/>
    <mergeCell ref="AT6:AT8"/>
    <mergeCell ref="AP10:AQ10"/>
    <mergeCell ref="Y7:Z7"/>
    <mergeCell ref="AK7:AN8"/>
    <mergeCell ref="AA6:AB6"/>
    <mergeCell ref="AA7:AB7"/>
    <mergeCell ref="AA8:AB8"/>
    <mergeCell ref="AA9:AB9"/>
    <mergeCell ref="AA10:AB10"/>
    <mergeCell ref="AF12:AG12"/>
    <mergeCell ref="AF13:AG13"/>
    <mergeCell ref="Y26:Z26"/>
    <mergeCell ref="Y22:Z22"/>
    <mergeCell ref="AA23:AB23"/>
    <mergeCell ref="W30:X30"/>
    <mergeCell ref="W28:X28"/>
    <mergeCell ref="AK5:AL5"/>
    <mergeCell ref="AM5:AN5"/>
    <mergeCell ref="Y15:Z15"/>
    <mergeCell ref="AA12:AB12"/>
    <mergeCell ref="AA15:AB15"/>
    <mergeCell ref="W16:X16"/>
    <mergeCell ref="W15:X15"/>
    <mergeCell ref="AC5:AD5"/>
    <mergeCell ref="AA5:AB5"/>
    <mergeCell ref="W7:X7"/>
    <mergeCell ref="Y8:Z8"/>
    <mergeCell ref="W23:X23"/>
    <mergeCell ref="AF17:AG17"/>
    <mergeCell ref="AF18:AG18"/>
    <mergeCell ref="AF19:AG19"/>
    <mergeCell ref="AF20:AG20"/>
    <mergeCell ref="W20:X20"/>
    <mergeCell ref="W17:X17"/>
    <mergeCell ref="W19:X19"/>
    <mergeCell ref="AA41:AB41"/>
    <mergeCell ref="U17:V17"/>
    <mergeCell ref="U22:V22"/>
    <mergeCell ref="Y20:Z20"/>
    <mergeCell ref="Y23:Z23"/>
    <mergeCell ref="W29:X29"/>
    <mergeCell ref="AA29:AB29"/>
    <mergeCell ref="AA30:AB30"/>
    <mergeCell ref="Y30:Z30"/>
    <mergeCell ref="AA39:AB39"/>
    <mergeCell ref="Y21:Z21"/>
    <mergeCell ref="W33:X33"/>
    <mergeCell ref="W26:X26"/>
    <mergeCell ref="W27:X27"/>
    <mergeCell ref="AA22:AB22"/>
    <mergeCell ref="AA27:AB27"/>
    <mergeCell ref="AA21:AB21"/>
    <mergeCell ref="AA26:AB26"/>
    <mergeCell ref="AA25:AB25"/>
    <mergeCell ref="Y25:Z25"/>
    <mergeCell ref="Y27:Z27"/>
    <mergeCell ref="Y24:Z24"/>
    <mergeCell ref="Y29:Z29"/>
    <mergeCell ref="Y28:Z28"/>
    <mergeCell ref="AD37:AF37"/>
    <mergeCell ref="AA17:AB17"/>
    <mergeCell ref="AF21:AG21"/>
    <mergeCell ref="AG37:AG38"/>
    <mergeCell ref="AA28:AB28"/>
    <mergeCell ref="G60:H60"/>
    <mergeCell ref="I60:J60"/>
    <mergeCell ref="G57:H57"/>
    <mergeCell ref="U38:V38"/>
    <mergeCell ref="U40:V40"/>
    <mergeCell ref="W40:X40"/>
    <mergeCell ref="Y40:Z40"/>
    <mergeCell ref="AA40:AB40"/>
    <mergeCell ref="U41:V41"/>
    <mergeCell ref="W41:X41"/>
    <mergeCell ref="W38:X38"/>
    <mergeCell ref="U39:V39"/>
    <mergeCell ref="P38:Q38"/>
    <mergeCell ref="I57:J57"/>
    <mergeCell ref="I51:J51"/>
    <mergeCell ref="I52:J52"/>
    <mergeCell ref="U44:V44"/>
    <mergeCell ref="W44:X44"/>
    <mergeCell ref="W50:X50"/>
    <mergeCell ref="AA49:AB49"/>
    <mergeCell ref="AA55:AB55"/>
    <mergeCell ref="Y55:Z55"/>
    <mergeCell ref="AA54:AB54"/>
    <mergeCell ref="C18:D18"/>
    <mergeCell ref="C17:D17"/>
    <mergeCell ref="C16:D16"/>
    <mergeCell ref="A61:B61"/>
    <mergeCell ref="I61:J61"/>
    <mergeCell ref="G61:H61"/>
    <mergeCell ref="E61:F61"/>
    <mergeCell ref="C61:D61"/>
    <mergeCell ref="A56:B57"/>
    <mergeCell ref="C56:D56"/>
    <mergeCell ref="E56:F56"/>
    <mergeCell ref="A58:B58"/>
    <mergeCell ref="C58:D58"/>
    <mergeCell ref="E58:F58"/>
    <mergeCell ref="G58:H58"/>
    <mergeCell ref="I58:J58"/>
    <mergeCell ref="A59:B59"/>
    <mergeCell ref="C59:D59"/>
    <mergeCell ref="E59:F59"/>
    <mergeCell ref="G59:H59"/>
    <mergeCell ref="I59:J59"/>
    <mergeCell ref="A60:B60"/>
    <mergeCell ref="C60:D60"/>
    <mergeCell ref="E60:F60"/>
    <mergeCell ref="O35:Q35"/>
    <mergeCell ref="O34:Q34"/>
    <mergeCell ref="O33:Q33"/>
    <mergeCell ref="D1:L1"/>
    <mergeCell ref="M1:O1"/>
    <mergeCell ref="P1:Q1"/>
    <mergeCell ref="L14:L18"/>
    <mergeCell ref="M15:M16"/>
    <mergeCell ref="N15:N16"/>
    <mergeCell ref="O15:O16"/>
    <mergeCell ref="P15:P16"/>
    <mergeCell ref="Q15:Q16"/>
    <mergeCell ref="M17:M18"/>
    <mergeCell ref="N17:N18"/>
    <mergeCell ref="O17:O18"/>
    <mergeCell ref="P17:P18"/>
    <mergeCell ref="Q17:Q18"/>
    <mergeCell ref="I17:J17"/>
    <mergeCell ref="G5:H5"/>
    <mergeCell ref="G12:H12"/>
    <mergeCell ref="M35:N35"/>
    <mergeCell ref="M34:N34"/>
    <mergeCell ref="M33:N33"/>
    <mergeCell ref="E13:F13"/>
    <mergeCell ref="C12:D12"/>
    <mergeCell ref="C7:D7"/>
    <mergeCell ref="C15:D15"/>
    <mergeCell ref="K30:L30"/>
    <mergeCell ref="K31:L31"/>
    <mergeCell ref="F34:H34"/>
    <mergeCell ref="F35:H35"/>
    <mergeCell ref="I33:L33"/>
    <mergeCell ref="I34:L34"/>
    <mergeCell ref="I35:L35"/>
    <mergeCell ref="C20:D20"/>
    <mergeCell ref="C19:D19"/>
    <mergeCell ref="E21:F21"/>
    <mergeCell ref="C26:D26"/>
    <mergeCell ref="G26:H26"/>
    <mergeCell ref="G25:H25"/>
    <mergeCell ref="C22:D22"/>
    <mergeCell ref="C28:D28"/>
    <mergeCell ref="G27:H27"/>
    <mergeCell ref="G30:H30"/>
  </mergeCells>
  <conditionalFormatting sqref="U7:AB27">
    <cfRule type="expression" priority="84" dxfId="14" stopIfTrue="1">
      <formula>NOT(ISNUMBER(U7))</formula>
    </cfRule>
  </conditionalFormatting>
  <conditionalFormatting sqref="I31:J32">
    <cfRule type="expression" priority="80" dxfId="12" stopIfTrue="1">
      <formula>학력="졸업예정"</formula>
    </cfRule>
  </conditionalFormatting>
  <conditionalFormatting sqref="C31:J32">
    <cfRule type="expression" priority="79" dxfId="14" stopIfTrue="1">
      <formula>C31="과목수 입력 확인"</formula>
    </cfRule>
  </conditionalFormatting>
  <conditionalFormatting sqref="AC33 AC29 AC7:AC12 AC15:AC27">
    <cfRule type="expression" priority="78" dxfId="12" stopIfTrue="1">
      <formula>학력="졸업"</formula>
    </cfRule>
  </conditionalFormatting>
  <conditionalFormatting sqref="AD29">
    <cfRule type="expression" priority="61" dxfId="28" stopIfTrue="1">
      <formula>학력&lt;&gt;"졸업"</formula>
    </cfRule>
  </conditionalFormatting>
  <conditionalFormatting sqref="I7:J28">
    <cfRule type="expression" priority="58" dxfId="22" stopIfTrue="1">
      <formula>OR(학력선택&lt;&gt;"졸업",성적유무_32=FALSE)</formula>
    </cfRule>
  </conditionalFormatting>
  <conditionalFormatting sqref="Q30">
    <cfRule type="expression" priority="56" dxfId="26" stopIfTrue="1">
      <formula>$Q$30&lt;&gt;"Yes"</formula>
    </cfRule>
  </conditionalFormatting>
  <conditionalFormatting sqref="N6:Q9 D3 C34 E34 N28:Q28 C32:L32 C33:E33 C30:K31">
    <cfRule type="expression" priority="55" dxfId="4" stopIfTrue="1">
      <formula>학력선택번호=3</formula>
    </cfRule>
  </conditionalFormatting>
  <conditionalFormatting sqref="G7:H28">
    <cfRule type="expression" priority="54" dxfId="22" stopIfTrue="1">
      <formula>OR(학력선택번호=3,성적유무_31=FALSE,전형구분선택="특별전형2")</formula>
    </cfRule>
  </conditionalFormatting>
  <conditionalFormatting sqref="E7:F28">
    <cfRule type="expression" priority="53" dxfId="22" stopIfTrue="1">
      <formula>OR(학력선택번호=3,성적유무_22=FALSE,전형구분선택="특별전형2")</formula>
    </cfRule>
  </conditionalFormatting>
  <conditionalFormatting sqref="C7:D28">
    <cfRule type="expression" priority="52" dxfId="22" stopIfTrue="1">
      <formula>OR(학력선택번호=3,성적유무_21=FALSE,전형구분선택="특별전형2")</formula>
    </cfRule>
  </conditionalFormatting>
  <conditionalFormatting sqref="B23:B28">
    <cfRule type="expression" priority="30" dxfId="21">
      <formula>학력선택="검정고시합격"</formula>
    </cfRule>
  </conditionalFormatting>
  <conditionalFormatting sqref="M6:M9">
    <cfRule type="expression" priority="29" dxfId="4" stopIfTrue="1">
      <formula>학력선택번호=3</formula>
    </cfRule>
  </conditionalFormatting>
  <conditionalFormatting sqref="P12:Q12">
    <cfRule type="expression" priority="28" dxfId="14">
      <formula>ISTEXT($P$12)</formula>
    </cfRule>
  </conditionalFormatting>
  <conditionalFormatting sqref="C6:J6">
    <cfRule type="expression" priority="23" dxfId="18">
      <formula>C6="성적없음"</formula>
    </cfRule>
    <cfRule type="expression" priority="27" dxfId="17">
      <formula>학력선택번호=3</formula>
    </cfRule>
  </conditionalFormatting>
  <conditionalFormatting sqref="AC13:AC14">
    <cfRule type="expression" priority="25" dxfId="12" stopIfTrue="1">
      <formula>학력="졸업"</formula>
    </cfRule>
  </conditionalFormatting>
  <conditionalFormatting sqref="AD13:AD14">
    <cfRule type="expression" priority="24" dxfId="12" stopIfTrue="1">
      <formula>학력="졸업예정"</formula>
    </cfRule>
  </conditionalFormatting>
  <conditionalFormatting sqref="U28:AB28">
    <cfRule type="expression" priority="6" dxfId="14" stopIfTrue="1">
      <formula>NOT(ISNUMBER(U28))</formula>
    </cfRule>
  </conditionalFormatting>
  <conditionalFormatting sqref="AC28">
    <cfRule type="expression" priority="5" dxfId="12" stopIfTrue="1">
      <formula>학력="졸업"</formula>
    </cfRule>
  </conditionalFormatting>
  <conditionalFormatting sqref="AD28 AA28:AB28">
    <cfRule type="expression" priority="4" dxfId="12" stopIfTrue="1">
      <formula>학력="졸업예정"</formula>
    </cfRule>
  </conditionalFormatting>
  <dataValidations count="7">
    <dataValidation type="whole" allowBlank="1" showInputMessage="1" showErrorMessage="1" sqref="N6:Q8">
      <formula1>0</formula1>
      <formula2>200</formula2>
    </dataValidation>
    <dataValidation type="list" showInputMessage="1" showErrorMessage="1" sqref="C7:J12 C14:J19 C23:J28">
      <formula1>성취도</formula1>
    </dataValidation>
    <dataValidation type="whole" allowBlank="1" showInputMessage="1" showErrorMessage="1" sqref="U30:Z30">
      <formula1>0</formula1>
      <formula2>27</formula2>
    </dataValidation>
    <dataValidation type="list" showInputMessage="1" showErrorMessage="1" error="아래쪽(29번째 행) 1학년 기술.가정에 성취도가 입력되어 있으면 입력 불가함._x000a_또는 성취도 목록값만 입력 가능함." sqref="C13:J13">
      <formula1>성취도</formula1>
    </dataValidation>
    <dataValidation type="whole" allowBlank="1" showInputMessage="1" showErrorMessage="1" sqref="M6:M8">
      <formula1>0</formula1>
      <formula2>225</formula2>
    </dataValidation>
    <dataValidation type="list" showInputMessage="1" showErrorMessage="1" sqref="C20:J22">
      <formula1>성취도_예체능</formula1>
    </dataValidation>
    <dataValidation type="list" allowBlank="1" showInputMessage="1" showErrorMessage="1" sqref="Q30">
      <formula1>"Yes,No"</formula1>
    </dataValidation>
  </dataValidations>
  <printOptions horizontalCentered="1"/>
  <pageMargins left="0.2362204724409449" right="0.1968503937007874" top="0.8661417322834646" bottom="0.3937007874015748" header="0.5118110236220472" footer="0.1968503937007874"/>
  <pageSetup fitToHeight="1" fitToWidth="1"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40"/>
  <sheetViews>
    <sheetView showGridLines="0" view="pageBreakPreview" zoomScale="115" zoomScaleSheetLayoutView="115" zoomScalePageLayoutView="70" workbookViewId="0" topLeftCell="A10">
      <selection activeCell="AA31" sqref="AA31"/>
    </sheetView>
  </sheetViews>
  <sheetFormatPr defaultColWidth="9.140625" defaultRowHeight="15"/>
  <cols>
    <col min="1" max="24" width="3.57421875" style="137" customWidth="1"/>
    <col min="25" max="25" width="1.8515625" style="137" customWidth="1"/>
    <col min="26" max="34" width="8.57421875" style="137" customWidth="1"/>
    <col min="35" max="16384" width="9.00390625" style="137" customWidth="1"/>
  </cols>
  <sheetData>
    <row r="1" spans="1:60" ht="50.1" customHeight="1">
      <c r="A1" s="1143" t="str">
        <f>"기계·자동화 분야 마이스터고
"&amp;학년도&amp;"학년도 울산마이스터고등학교 입학원서"</f>
        <v>기계·자동화 분야 마이스터고
2020학년도 울산마이스터고등학교 입학원서</v>
      </c>
      <c r="B1" s="1144"/>
      <c r="C1" s="1144"/>
      <c r="D1" s="1144"/>
      <c r="E1" s="1144"/>
      <c r="F1" s="1144"/>
      <c r="G1" s="1144"/>
      <c r="H1" s="1144"/>
      <c r="I1" s="1144"/>
      <c r="J1" s="1144"/>
      <c r="K1" s="1144"/>
      <c r="L1" s="1144"/>
      <c r="M1" s="1144"/>
      <c r="N1" s="1144"/>
      <c r="O1" s="1144"/>
      <c r="P1" s="1144"/>
      <c r="Q1" s="1144"/>
      <c r="R1" s="1144"/>
      <c r="S1" s="1144"/>
      <c r="T1" s="1144"/>
      <c r="U1" s="1144"/>
      <c r="V1" s="1144"/>
      <c r="W1" s="1144"/>
      <c r="X1" s="1145"/>
      <c r="Y1" s="265"/>
      <c r="Z1" s="1114" t="s">
        <v>354</v>
      </c>
      <c r="AA1" s="1114"/>
      <c r="AB1" s="1114"/>
      <c r="AC1" s="1114"/>
      <c r="AD1" s="1114"/>
      <c r="AE1" s="1114"/>
      <c r="AF1" s="1114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</row>
    <row r="2" spans="1:32" ht="20.1" customHeight="1" thickBot="1">
      <c r="A2" s="1157" t="s">
        <v>237</v>
      </c>
      <c r="B2" s="1158"/>
      <c r="C2" s="1158"/>
      <c r="D2" s="1158"/>
      <c r="E2" s="1158"/>
      <c r="F2" s="1159" t="s">
        <v>224</v>
      </c>
      <c r="G2" s="1159"/>
      <c r="H2" s="1159"/>
      <c r="I2" s="1159"/>
      <c r="J2" s="1159"/>
      <c r="K2" s="1159"/>
      <c r="L2" s="1160"/>
      <c r="M2" s="1155" t="s">
        <v>238</v>
      </c>
      <c r="N2" s="1156"/>
      <c r="O2" s="1156"/>
      <c r="P2" s="1156"/>
      <c r="Q2" s="1176" t="str">
        <f>접수번호</f>
        <v>※</v>
      </c>
      <c r="R2" s="1176"/>
      <c r="S2" s="1176"/>
      <c r="T2" s="1176"/>
      <c r="U2" s="1177" t="str">
        <f>Version</f>
        <v>Ver: 2019.09.16.</v>
      </c>
      <c r="V2" s="1178"/>
      <c r="W2" s="1178"/>
      <c r="X2" s="1179"/>
      <c r="Y2" s="265"/>
      <c r="Z2" s="1232" t="s">
        <v>356</v>
      </c>
      <c r="AA2" s="1232"/>
      <c r="AB2" s="1232"/>
      <c r="AC2" s="1232"/>
      <c r="AD2" s="1232"/>
      <c r="AE2" s="1232"/>
      <c r="AF2" s="1232"/>
    </row>
    <row r="3" spans="1:60" ht="24.95" customHeight="1">
      <c r="A3" s="1148" t="s">
        <v>225</v>
      </c>
      <c r="B3" s="1149"/>
      <c r="C3" s="1154" t="s">
        <v>226</v>
      </c>
      <c r="D3" s="1154"/>
      <c r="E3" s="1154"/>
      <c r="F3" s="1164">
        <f>학생성명</f>
        <v>0</v>
      </c>
      <c r="G3" s="1164"/>
      <c r="H3" s="1164"/>
      <c r="I3" s="1164"/>
      <c r="J3" s="1164"/>
      <c r="K3" s="1154" t="s">
        <v>227</v>
      </c>
      <c r="L3" s="1154"/>
      <c r="M3" s="1154"/>
      <c r="N3" s="1154"/>
      <c r="O3" s="1162" t="str">
        <f>IF(학생생년월일="","",학생생년월일)</f>
        <v/>
      </c>
      <c r="P3" s="1162"/>
      <c r="Q3" s="1163"/>
      <c r="R3" s="1163"/>
      <c r="S3" s="1163"/>
      <c r="T3" s="1165" t="s">
        <v>228</v>
      </c>
      <c r="U3" s="1154"/>
      <c r="V3" s="1164" t="s">
        <v>229</v>
      </c>
      <c r="W3" s="1164"/>
      <c r="X3" s="1166"/>
      <c r="Y3" s="265"/>
      <c r="Z3" s="1114" t="s">
        <v>434</v>
      </c>
      <c r="AA3" s="1114"/>
      <c r="AB3" s="1114"/>
      <c r="AC3" s="1114"/>
      <c r="AD3" s="1114"/>
      <c r="AE3" s="1114"/>
      <c r="AF3" s="1114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</row>
    <row r="4" spans="1:25" ht="30" customHeight="1">
      <c r="A4" s="1150"/>
      <c r="B4" s="1151"/>
      <c r="C4" s="1117" t="s">
        <v>230</v>
      </c>
      <c r="D4" s="1117"/>
      <c r="E4" s="1117"/>
      <c r="F4" s="1118" t="s">
        <v>304</v>
      </c>
      <c r="G4" s="1117"/>
      <c r="H4" s="1117"/>
      <c r="I4" s="1147">
        <f>학생전화번호</f>
        <v>0</v>
      </c>
      <c r="J4" s="1147"/>
      <c r="K4" s="1147"/>
      <c r="L4" s="1147"/>
      <c r="M4" s="1147"/>
      <c r="N4" s="1147"/>
      <c r="O4" s="1118" t="s">
        <v>305</v>
      </c>
      <c r="P4" s="1117"/>
      <c r="Q4" s="1117"/>
      <c r="R4" s="1147">
        <f>보호자전화번호</f>
        <v>0</v>
      </c>
      <c r="S4" s="1147"/>
      <c r="T4" s="1147"/>
      <c r="U4" s="1147"/>
      <c r="V4" s="1147"/>
      <c r="W4" s="1147"/>
      <c r="X4" s="1161"/>
      <c r="Y4" s="265"/>
    </row>
    <row r="5" spans="1:32" ht="35.1" customHeight="1" thickBot="1">
      <c r="A5" s="1152"/>
      <c r="B5" s="1153"/>
      <c r="C5" s="1175" t="s">
        <v>231</v>
      </c>
      <c r="D5" s="1175"/>
      <c r="E5" s="1175"/>
      <c r="F5" s="1173" t="str">
        <f>IF(학생우편번호="",학생광역시도&amp;" "&amp;학생시군구&amp;" "&amp;학생읍면동&amp;" "&amp;학생상세주소,"(우편번호: "&amp;학생우편번호&amp;") "&amp;학생광역시도&amp;" "&amp;학생시군구&amp;" "&amp;학생읍면동&amp;" "&amp;학생상세주소)</f>
        <v xml:space="preserve">   </v>
      </c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3"/>
      <c r="S5" s="1173"/>
      <c r="T5" s="1173"/>
      <c r="U5" s="1173"/>
      <c r="V5" s="1173"/>
      <c r="W5" s="1173"/>
      <c r="X5" s="1174"/>
      <c r="Y5" s="265"/>
      <c r="AA5" s="216"/>
      <c r="AB5" s="216"/>
      <c r="AC5" s="216"/>
      <c r="AD5" s="216"/>
      <c r="AE5" s="216"/>
      <c r="AF5" s="216"/>
    </row>
    <row r="6" spans="1:25" s="141" customFormat="1" ht="9.95" customHeight="1" thickBot="1">
      <c r="A6" s="162"/>
      <c r="B6" s="163"/>
      <c r="C6" s="151"/>
      <c r="D6" s="151"/>
      <c r="E6" s="151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5"/>
      <c r="Y6" s="266"/>
    </row>
    <row r="7" spans="1:25" ht="24.95" customHeight="1">
      <c r="A7" s="1167" t="s">
        <v>223</v>
      </c>
      <c r="B7" s="1168"/>
      <c r="C7" s="1169" t="str">
        <f>IF(학력선택="검정고시합격",학력선택,출신학교명&amp;"학교")</f>
        <v>학교</v>
      </c>
      <c r="D7" s="1170"/>
      <c r="E7" s="1170"/>
      <c r="F7" s="1170"/>
      <c r="G7" s="1170"/>
      <c r="H7" s="1171"/>
      <c r="I7" s="1172" t="str">
        <f>IF(학력선택="검정고시합격",검정고시합격년도&amp;"년도 "&amp;검정고시_응시교육청&amp;"교육청",TEXT(학력취득일,"yyyy-mm-dd")&amp;"    "&amp;학력선택)</f>
        <v>1900-01-00    졸업예정</v>
      </c>
      <c r="J7" s="1172"/>
      <c r="K7" s="1172"/>
      <c r="L7" s="1172"/>
      <c r="M7" s="1172"/>
      <c r="N7" s="1172"/>
      <c r="O7" s="1172"/>
      <c r="P7" s="1172"/>
      <c r="Q7" s="1172"/>
      <c r="R7" s="1172"/>
      <c r="S7" s="1169" t="str">
        <f>IF(학력선택="검정고시합격",검정고시합격점수&amp;"점 ("&amp;검정고시_석차백분율&amp;"%)","3학년 "&amp;삼학년_반&amp;"반 "&amp;삼학년_번호&amp;"번")</f>
        <v>3학년 반 번</v>
      </c>
      <c r="T7" s="1263"/>
      <c r="U7" s="1263"/>
      <c r="V7" s="1263"/>
      <c r="W7" s="1263"/>
      <c r="X7" s="1264"/>
      <c r="Y7" s="265"/>
    </row>
    <row r="8" spans="1:29" ht="35.1" customHeight="1">
      <c r="A8" s="1116" t="s">
        <v>208</v>
      </c>
      <c r="B8" s="1117"/>
      <c r="C8" s="1147" t="str">
        <f>전형구분선택</f>
        <v>특별전형</v>
      </c>
      <c r="D8" s="1147"/>
      <c r="E8" s="1147"/>
      <c r="F8" s="1147"/>
      <c r="G8" s="1147"/>
      <c r="H8" s="1147"/>
      <c r="I8" s="1191" t="str">
        <f>IF(전형구분선택="특별전형",특별전형유형선택&amp;"_"&amp;특별전형구분선택,IF(전형구분선택="특례입학전형",특례입학유형선택,"_"))</f>
        <v>_</v>
      </c>
      <c r="J8" s="1192"/>
      <c r="K8" s="1192"/>
      <c r="L8" s="1192"/>
      <c r="M8" s="1192"/>
      <c r="N8" s="1192"/>
      <c r="O8" s="1192"/>
      <c r="P8" s="1192"/>
      <c r="Q8" s="1192"/>
      <c r="R8" s="1193"/>
      <c r="S8" s="1194" t="s">
        <v>212</v>
      </c>
      <c r="T8" s="1195"/>
      <c r="U8" s="1196" t="str">
        <f ca="1">IF(확인_울산지역,"울산지역","타지역")</f>
        <v>타지역</v>
      </c>
      <c r="V8" s="1196"/>
      <c r="W8" s="1196"/>
      <c r="X8" s="1197"/>
      <c r="Y8" s="265"/>
      <c r="AC8" s="220"/>
    </row>
    <row r="9" spans="1:32" ht="16.5" customHeight="1">
      <c r="A9" s="1188" t="s">
        <v>222</v>
      </c>
      <c r="B9" s="1185"/>
      <c r="C9" s="1183" t="s">
        <v>213</v>
      </c>
      <c r="D9" s="1184"/>
      <c r="E9" s="1184"/>
      <c r="F9" s="1184"/>
      <c r="G9" s="1184"/>
      <c r="H9" s="1184"/>
      <c r="I9" s="1185"/>
      <c r="J9" s="1183" t="s">
        <v>214</v>
      </c>
      <c r="K9" s="1184"/>
      <c r="L9" s="1184"/>
      <c r="M9" s="1184"/>
      <c r="N9" s="1184"/>
      <c r="O9" s="1184"/>
      <c r="P9" s="1185"/>
      <c r="Q9" s="1183" t="s">
        <v>215</v>
      </c>
      <c r="R9" s="1184"/>
      <c r="S9" s="1184"/>
      <c r="T9" s="1184"/>
      <c r="U9" s="1184"/>
      <c r="V9" s="1184"/>
      <c r="W9" s="1185"/>
      <c r="X9" s="1186" t="str">
        <f>IF(지망학과_오류검증=TRUE,"","오류")</f>
        <v>오류</v>
      </c>
      <c r="Y9" s="265"/>
      <c r="Z9" s="1114" t="s">
        <v>435</v>
      </c>
      <c r="AA9" s="1114"/>
      <c r="AB9" s="1114"/>
      <c r="AC9" s="1114"/>
      <c r="AD9" s="1114"/>
      <c r="AE9" s="1114"/>
      <c r="AF9" s="1114"/>
    </row>
    <row r="10" spans="1:32" ht="20.1" customHeight="1" thickBot="1">
      <c r="A10" s="1189"/>
      <c r="B10" s="1190"/>
      <c r="C10" s="1180" t="str">
        <f>제1지망학과</f>
        <v/>
      </c>
      <c r="D10" s="1181"/>
      <c r="E10" s="1181"/>
      <c r="F10" s="1181"/>
      <c r="G10" s="1181"/>
      <c r="H10" s="1181"/>
      <c r="I10" s="1182"/>
      <c r="J10" s="1180" t="str">
        <f>제2지망학과</f>
        <v/>
      </c>
      <c r="K10" s="1181"/>
      <c r="L10" s="1181"/>
      <c r="M10" s="1181"/>
      <c r="N10" s="1181"/>
      <c r="O10" s="1181"/>
      <c r="P10" s="1182"/>
      <c r="Q10" s="1180" t="str">
        <f>제3지망학과</f>
        <v/>
      </c>
      <c r="R10" s="1181"/>
      <c r="S10" s="1181"/>
      <c r="T10" s="1181"/>
      <c r="U10" s="1181"/>
      <c r="V10" s="1181"/>
      <c r="W10" s="1182"/>
      <c r="X10" s="1187"/>
      <c r="Y10" s="265"/>
      <c r="Z10" s="1114"/>
      <c r="AA10" s="1114"/>
      <c r="AB10" s="1114"/>
      <c r="AC10" s="1114"/>
      <c r="AD10" s="1114"/>
      <c r="AE10" s="1114"/>
      <c r="AF10" s="1114"/>
    </row>
    <row r="11" spans="1:25" ht="9.95" customHeight="1" thickBot="1">
      <c r="A11" s="153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54"/>
      <c r="Y11" s="265"/>
    </row>
    <row r="12" spans="1:25" ht="13.5" customHeight="1">
      <c r="A12" s="1088" t="s">
        <v>685</v>
      </c>
      <c r="B12" s="1089"/>
      <c r="C12" s="1089"/>
      <c r="D12" s="1089"/>
      <c r="E12" s="1089"/>
      <c r="F12" s="1089"/>
      <c r="G12" s="1090"/>
      <c r="H12" s="1106" t="s">
        <v>686</v>
      </c>
      <c r="I12" s="1107"/>
      <c r="J12" s="1107"/>
      <c r="K12" s="1107"/>
      <c r="L12" s="1107"/>
      <c r="M12" s="1107"/>
      <c r="N12" s="1119" t="s">
        <v>687</v>
      </c>
      <c r="O12" s="1120"/>
      <c r="P12" s="1120"/>
      <c r="Q12" s="1120"/>
      <c r="R12" s="1120"/>
      <c r="S12" s="1120"/>
      <c r="T12" s="1120"/>
      <c r="U12" s="1120"/>
      <c r="V12" s="1120" t="s">
        <v>774</v>
      </c>
      <c r="W12" s="1120"/>
      <c r="X12" s="1132"/>
      <c r="Y12" s="265"/>
    </row>
    <row r="13" spans="1:25" ht="13.5" customHeight="1" thickBot="1">
      <c r="A13" s="1091"/>
      <c r="B13" s="1092"/>
      <c r="C13" s="1092"/>
      <c r="D13" s="1092"/>
      <c r="E13" s="1092"/>
      <c r="F13" s="1092"/>
      <c r="G13" s="1093"/>
      <c r="H13" s="1108" t="s">
        <v>773</v>
      </c>
      <c r="I13" s="1109"/>
      <c r="J13" s="1109"/>
      <c r="K13" s="1109"/>
      <c r="L13" s="1109"/>
      <c r="M13" s="1109"/>
      <c r="N13" s="1116" t="s">
        <v>688</v>
      </c>
      <c r="O13" s="1117"/>
      <c r="P13" s="1118" t="s">
        <v>772</v>
      </c>
      <c r="Q13" s="1117"/>
      <c r="R13" s="1118" t="s">
        <v>689</v>
      </c>
      <c r="S13" s="1117"/>
      <c r="T13" s="1118" t="s">
        <v>771</v>
      </c>
      <c r="U13" s="1117"/>
      <c r="V13" s="1118"/>
      <c r="W13" s="1118"/>
      <c r="X13" s="1133"/>
      <c r="Y13" s="265"/>
    </row>
    <row r="14" spans="1:25" ht="17.25" customHeight="1">
      <c r="A14" s="1094" t="s">
        <v>817</v>
      </c>
      <c r="B14" s="1095"/>
      <c r="C14" s="1095"/>
      <c r="D14" s="1095"/>
      <c r="E14" s="1095"/>
      <c r="F14" s="1096">
        <f>IF(OR(과목수확인&lt;&gt;"Yes",학력선택="검정고시합격"),".",성취도점수_합계)</f>
        <v>0</v>
      </c>
      <c r="G14" s="1097"/>
      <c r="H14" s="1098"/>
      <c r="I14" s="1099"/>
      <c r="J14" s="1099"/>
      <c r="K14" s="1099"/>
      <c r="L14" s="1110"/>
      <c r="M14" s="1111"/>
      <c r="N14" s="1121" t="str">
        <f>가중치_성취도평균_수학</f>
        <v/>
      </c>
      <c r="O14" s="1122"/>
      <c r="P14" s="1122" t="str">
        <f>가중치_성취도평균_기가</f>
        <v/>
      </c>
      <c r="Q14" s="1122"/>
      <c r="R14" s="1122" t="str">
        <f>가중치_성취도평균_영어</f>
        <v/>
      </c>
      <c r="S14" s="1122"/>
      <c r="T14" s="1123"/>
      <c r="U14" s="1123"/>
      <c r="V14" s="1134"/>
      <c r="W14" s="1134"/>
      <c r="X14" s="1135"/>
      <c r="Y14" s="265"/>
    </row>
    <row r="15" spans="1:25" ht="17.25" customHeight="1">
      <c r="A15" s="1100" t="s">
        <v>690</v>
      </c>
      <c r="B15" s="1101"/>
      <c r="C15" s="1101"/>
      <c r="D15" s="1101"/>
      <c r="E15" s="1101"/>
      <c r="F15" s="1102">
        <f>IF(OR(과목수확인&lt;&gt;"Yes",학력선택="검정고시합격"),".",교과목수_합계)</f>
        <v>0</v>
      </c>
      <c r="G15" s="1103"/>
      <c r="H15" s="1104" t="s">
        <v>691</v>
      </c>
      <c r="I15" s="1105"/>
      <c r="J15" s="1105"/>
      <c r="K15" s="1105"/>
      <c r="L15" s="1112" t="str">
        <f>IF(OR(학력선택번호=3,교과점수_일반_합계=0,교과점수_일반_합계=""),".",교과점수_일반_합계)</f>
        <v>.</v>
      </c>
      <c r="M15" s="1113"/>
      <c r="N15" s="1121" t="str">
        <f>IF(가중치_수학="",".",가중치_수학)</f>
        <v>.</v>
      </c>
      <c r="O15" s="1122"/>
      <c r="P15" s="1122" t="str">
        <f>IF(가중치_기가="",".",가중치_기가)</f>
        <v>.</v>
      </c>
      <c r="Q15" s="1122"/>
      <c r="R15" s="1122" t="str">
        <f>IF(가중치_영어="",".",가중치_영어)</f>
        <v>.</v>
      </c>
      <c r="S15" s="1122"/>
      <c r="T15" s="1122" t="str">
        <f>IF(OR(학력선택번호=3,가중치_합계=""),".",가중치_합계)</f>
        <v>.</v>
      </c>
      <c r="U15" s="1122"/>
      <c r="V15" s="1122" t="str">
        <f>IF(OR(과목수확인&lt;&gt;"Yes",교과학습발달상황점수_일반=0),".",교과학습발달상황점수_일반)</f>
        <v>.</v>
      </c>
      <c r="W15" s="1122"/>
      <c r="X15" s="1136"/>
      <c r="Y15" s="265"/>
    </row>
    <row r="16" spans="1:25" ht="17.25" customHeight="1" thickBot="1">
      <c r="A16" s="1084" t="s">
        <v>818</v>
      </c>
      <c r="B16" s="1085"/>
      <c r="C16" s="1085"/>
      <c r="D16" s="1085"/>
      <c r="E16" s="1085"/>
      <c r="F16" s="1086" t="str">
        <f>IF(OR(과목수확인&lt;&gt;"Yes",학력선택="검정고시합격"),".",평균_성취도점수)</f>
        <v/>
      </c>
      <c r="G16" s="1087"/>
      <c r="H16" s="1084" t="s">
        <v>692</v>
      </c>
      <c r="I16" s="1085"/>
      <c r="J16" s="1085"/>
      <c r="K16" s="1085"/>
      <c r="L16" s="1130" t="str">
        <f>IF(OR(학력선택번호=3,전형구분선택번호=1,교과점수_특별_합계=0,교과점수_특별_합계=""),".",교과점수_특별_합계)</f>
        <v>.</v>
      </c>
      <c r="M16" s="1131"/>
      <c r="N16" s="1256" t="str">
        <f>IF(OR(전형구분선택="일반전형",가중치_수학=""),".",가중치_수학)</f>
        <v>.</v>
      </c>
      <c r="O16" s="1137"/>
      <c r="P16" s="1137" t="str">
        <f>IF(OR(전형구분선택="일반전형",가중치_기가=""),".",가중치_기가)</f>
        <v>.</v>
      </c>
      <c r="Q16" s="1137"/>
      <c r="R16" s="1137" t="str">
        <f>IF(OR(전형구분선택="일반전형",가중치_영어=""),".",가중치_영어)</f>
        <v>.</v>
      </c>
      <c r="S16" s="1137"/>
      <c r="T16" s="1137" t="str">
        <f>IF(OR(전형구분선택="일반전형",학력선택="검정고시합격",가중치_합계=""),".",가중치_합계)</f>
        <v>.</v>
      </c>
      <c r="U16" s="1137"/>
      <c r="V16" s="1137" t="str">
        <f>IF(OR(과목수확인&lt;&gt;"Yes",전형구분선택="일반전형",교과학습발달상황점수_특별=0),".",교과학습발달상황점수_특별)</f>
        <v>.</v>
      </c>
      <c r="W16" s="1137"/>
      <c r="X16" s="1138"/>
      <c r="Y16" s="265"/>
    </row>
    <row r="17" spans="1:25" ht="9.95" customHeight="1" thickBot="1">
      <c r="A17" s="153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54"/>
      <c r="Y17" s="265"/>
    </row>
    <row r="18" spans="1:25" ht="15">
      <c r="A18" s="1237" t="s">
        <v>221</v>
      </c>
      <c r="B18" s="1238"/>
      <c r="C18" s="1233" t="s">
        <v>220</v>
      </c>
      <c r="D18" s="1234"/>
      <c r="E18" s="1234"/>
      <c r="F18" s="1234"/>
      <c r="G18" s="1235"/>
      <c r="H18" s="1257" t="s">
        <v>777</v>
      </c>
      <c r="I18" s="1258"/>
      <c r="J18" s="1258"/>
      <c r="K18" s="1258"/>
      <c r="L18" s="1259"/>
      <c r="M18" s="1139" t="s">
        <v>778</v>
      </c>
      <c r="N18" s="1107"/>
      <c r="O18" s="1107"/>
      <c r="P18" s="1140"/>
      <c r="Q18" s="1139" t="s">
        <v>779</v>
      </c>
      <c r="R18" s="1107"/>
      <c r="S18" s="1107"/>
      <c r="T18" s="1140"/>
      <c r="U18" s="1124" t="s">
        <v>780</v>
      </c>
      <c r="V18" s="1125"/>
      <c r="W18" s="1125"/>
      <c r="X18" s="1126"/>
      <c r="Y18" s="265"/>
    </row>
    <row r="19" spans="1:25" ht="15">
      <c r="A19" s="1239"/>
      <c r="B19" s="1240"/>
      <c r="C19" s="1244" t="s">
        <v>216</v>
      </c>
      <c r="D19" s="1245"/>
      <c r="E19" s="1245"/>
      <c r="F19" s="1245"/>
      <c r="G19" s="1246"/>
      <c r="H19" s="1260"/>
      <c r="I19" s="1261"/>
      <c r="J19" s="1261"/>
      <c r="K19" s="1261"/>
      <c r="L19" s="1262"/>
      <c r="M19" s="1141"/>
      <c r="N19" s="1109"/>
      <c r="O19" s="1109"/>
      <c r="P19" s="1142"/>
      <c r="Q19" s="1141"/>
      <c r="R19" s="1109"/>
      <c r="S19" s="1109"/>
      <c r="T19" s="1142"/>
      <c r="U19" s="1127"/>
      <c r="V19" s="1128"/>
      <c r="W19" s="1128"/>
      <c r="X19" s="1129"/>
      <c r="Y19" s="265"/>
    </row>
    <row r="20" spans="1:25" ht="30" customHeight="1">
      <c r="A20" s="1239"/>
      <c r="B20" s="1240"/>
      <c r="C20" s="1254" t="s">
        <v>775</v>
      </c>
      <c r="D20" s="1254"/>
      <c r="E20" s="1254"/>
      <c r="F20" s="1254"/>
      <c r="G20" s="1254"/>
      <c r="H20" s="1236" t="str">
        <f>IF(OR(과목수확인&lt;&gt;"Yes",교과학습발달상황점수_일반=0),".",교과학습발달상황점수_일반)</f>
        <v>.</v>
      </c>
      <c r="I20" s="1236"/>
      <c r="J20" s="1236"/>
      <c r="K20" s="1236"/>
      <c r="L20" s="1236"/>
      <c r="M20" s="1247">
        <f>출결점수_일반전형</f>
        <v>60</v>
      </c>
      <c r="N20" s="1247"/>
      <c r="O20" s="1247"/>
      <c r="P20" s="1247"/>
      <c r="Q20" s="1247">
        <f>봉사활동점수</f>
        <v>20</v>
      </c>
      <c r="R20" s="1247"/>
      <c r="S20" s="1247"/>
      <c r="T20" s="1247"/>
      <c r="U20" s="1249" t="str">
        <f>입학전형총점_일반</f>
        <v>.</v>
      </c>
      <c r="V20" s="1249"/>
      <c r="W20" s="1249"/>
      <c r="X20" s="1250"/>
      <c r="Y20" s="265"/>
    </row>
    <row r="21" spans="1:27" ht="30" customHeight="1" thickBot="1">
      <c r="A21" s="1241"/>
      <c r="B21" s="1242"/>
      <c r="C21" s="1255" t="s">
        <v>776</v>
      </c>
      <c r="D21" s="1255"/>
      <c r="E21" s="1255"/>
      <c r="F21" s="1255"/>
      <c r="G21" s="1255"/>
      <c r="H21" s="1243" t="str">
        <f>IF(OR(과목수확인&lt;&gt;"Yes",전형구분선택="일반전형",교과학습발달상황점수_특별=0),".",교과학습발달상황점수_특별)</f>
        <v>.</v>
      </c>
      <c r="I21" s="1243"/>
      <c r="J21" s="1243"/>
      <c r="K21" s="1243"/>
      <c r="L21" s="1243"/>
      <c r="M21" s="1248">
        <f>IF(전형구분선택="일반전형",".",출결점수_특별전형)</f>
        <v>120</v>
      </c>
      <c r="N21" s="1248"/>
      <c r="O21" s="1248"/>
      <c r="P21" s="1248"/>
      <c r="Q21" s="1248">
        <f>IF(전형구분선택="일반전형",".",봉사활동점수)</f>
        <v>20</v>
      </c>
      <c r="R21" s="1248"/>
      <c r="S21" s="1248"/>
      <c r="T21" s="1248"/>
      <c r="U21" s="1251" t="str">
        <f>입학전형총점_특별</f>
        <v>.</v>
      </c>
      <c r="V21" s="1252"/>
      <c r="W21" s="1252"/>
      <c r="X21" s="1253"/>
      <c r="Y21" s="265"/>
      <c r="AA21" s="294"/>
    </row>
    <row r="22" spans="1:25" ht="13.5" customHeight="1" thickBot="1">
      <c r="A22" s="153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54"/>
      <c r="Y22" s="265"/>
    </row>
    <row r="23" spans="1:32" ht="17.25" customHeight="1">
      <c r="A23" s="155"/>
      <c r="B23" s="1201" t="s">
        <v>232</v>
      </c>
      <c r="C23" s="1202"/>
      <c r="D23" s="1202"/>
      <c r="E23" s="1203"/>
      <c r="F23" s="138"/>
      <c r="G23" s="1218" t="str">
        <f>"본인은「개인정보보호」법에 의거 개인정보 제공에 동의하며,
"&amp;학년도&amp;"학년도 귀교 제 1학년에 입학하고자 소정의 서류를 갖추어 지원하고, 귀교 외의 다른 고등학교에 이중지원하지 않을 것을 서약합니다."</f>
        <v>본인은「개인정보보호」법에 의거 개인정보 제공에 동의하며,
2020학년도 귀교 제 1학년에 입학하고자 소정의 서류를 갖추어 지원하고, 귀교 외의 다른 고등학교에 이중지원하지 않을 것을 서약합니다.</v>
      </c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20"/>
      <c r="Y23" s="265"/>
      <c r="Z23" s="1114" t="s">
        <v>357</v>
      </c>
      <c r="AA23" s="1114"/>
      <c r="AB23" s="1114"/>
      <c r="AC23" s="1114"/>
      <c r="AD23" s="1114"/>
      <c r="AE23" s="1114"/>
      <c r="AF23" s="1114"/>
    </row>
    <row r="24" spans="1:32" ht="13.5" customHeight="1">
      <c r="A24" s="155"/>
      <c r="B24" s="1204"/>
      <c r="C24" s="1205"/>
      <c r="D24" s="1205"/>
      <c r="E24" s="1206"/>
      <c r="F24" s="143"/>
      <c r="G24" s="1219"/>
      <c r="H24" s="1219"/>
      <c r="I24" s="1219"/>
      <c r="J24" s="1219"/>
      <c r="K24" s="1219"/>
      <c r="L24" s="1219"/>
      <c r="M24" s="1219"/>
      <c r="N24" s="1219"/>
      <c r="O24" s="1219"/>
      <c r="P24" s="1219"/>
      <c r="Q24" s="1219"/>
      <c r="R24" s="1219"/>
      <c r="S24" s="1219"/>
      <c r="T24" s="1219"/>
      <c r="U24" s="1219"/>
      <c r="V24" s="1219"/>
      <c r="W24" s="1219"/>
      <c r="X24" s="1220"/>
      <c r="Y24" s="265"/>
      <c r="Z24" s="1114"/>
      <c r="AA24" s="1114"/>
      <c r="AB24" s="1114"/>
      <c r="AC24" s="1114"/>
      <c r="AD24" s="1114"/>
      <c r="AE24" s="1114"/>
      <c r="AF24" s="1114"/>
    </row>
    <row r="25" spans="1:32" ht="15">
      <c r="A25" s="155"/>
      <c r="B25" s="1204"/>
      <c r="C25" s="1205"/>
      <c r="D25" s="1205"/>
      <c r="E25" s="1206"/>
      <c r="F25" s="138"/>
      <c r="G25" s="1219"/>
      <c r="H25" s="1219"/>
      <c r="I25" s="1219"/>
      <c r="J25" s="1219"/>
      <c r="K25" s="1219"/>
      <c r="L25" s="1219"/>
      <c r="M25" s="1219"/>
      <c r="N25" s="1219"/>
      <c r="O25" s="1219"/>
      <c r="P25" s="1219"/>
      <c r="Q25" s="1219"/>
      <c r="R25" s="1219"/>
      <c r="S25" s="1219"/>
      <c r="T25" s="1219"/>
      <c r="U25" s="1219"/>
      <c r="V25" s="1219"/>
      <c r="W25" s="1219"/>
      <c r="X25" s="1220"/>
      <c r="Y25" s="265"/>
      <c r="Z25" s="1114"/>
      <c r="AA25" s="1114"/>
      <c r="AB25" s="1114"/>
      <c r="AC25" s="1114"/>
      <c r="AD25" s="1114"/>
      <c r="AE25" s="1114"/>
      <c r="AF25" s="1114"/>
    </row>
    <row r="26" spans="1:32" ht="17.25" customHeight="1">
      <c r="A26" s="153"/>
      <c r="B26" s="1204"/>
      <c r="C26" s="1205"/>
      <c r="D26" s="1205"/>
      <c r="E26" s="1206"/>
      <c r="F26" s="141"/>
      <c r="G26" s="141"/>
      <c r="H26" s="139"/>
      <c r="I26" s="139"/>
      <c r="J26" s="1115" t="str">
        <f>IF(원서작성일자="","",TEXT(원서작성일자,"yyyy 년     mm 월     dd 일"))</f>
        <v/>
      </c>
      <c r="K26" s="1115"/>
      <c r="L26" s="1115"/>
      <c r="M26" s="1115"/>
      <c r="N26" s="1115"/>
      <c r="O26" s="1115"/>
      <c r="P26" s="1115"/>
      <c r="Q26" s="1115"/>
      <c r="R26" s="1115"/>
      <c r="S26" s="1115"/>
      <c r="T26" s="1115"/>
      <c r="U26" s="1115"/>
      <c r="V26" s="139"/>
      <c r="W26" s="139"/>
      <c r="X26" s="156"/>
      <c r="Y26" s="265"/>
      <c r="Z26" s="1114"/>
      <c r="AA26" s="1114"/>
      <c r="AB26" s="1114"/>
      <c r="AC26" s="1114"/>
      <c r="AD26" s="1114"/>
      <c r="AE26" s="1114"/>
      <c r="AF26" s="1114"/>
    </row>
    <row r="27" spans="1:25" s="142" customFormat="1" ht="17.25" customHeight="1">
      <c r="A27" s="153"/>
      <c r="B27" s="1204"/>
      <c r="C27" s="1205"/>
      <c r="D27" s="1205"/>
      <c r="E27" s="1206"/>
      <c r="F27" s="141"/>
      <c r="G27" s="141"/>
      <c r="H27" s="141"/>
      <c r="I27" s="141"/>
      <c r="J27" s="1221" t="s">
        <v>217</v>
      </c>
      <c r="K27" s="1221"/>
      <c r="L27" s="1221"/>
      <c r="M27" s="1115" t="str">
        <f>보호자성명&amp;" (지원자의 "&amp;보호자관계&amp;")"</f>
        <v xml:space="preserve"> (지원자의 )</v>
      </c>
      <c r="N27" s="1115"/>
      <c r="O27" s="1115"/>
      <c r="P27" s="1115"/>
      <c r="Q27" s="1115"/>
      <c r="R27" s="1115"/>
      <c r="S27" s="1115"/>
      <c r="T27" s="1115"/>
      <c r="U27" s="1115"/>
      <c r="V27" s="1222" t="s">
        <v>218</v>
      </c>
      <c r="W27" s="1222"/>
      <c r="X27" s="154"/>
      <c r="Y27" s="267"/>
    </row>
    <row r="28" spans="1:25" s="142" customFormat="1" ht="17.25" customHeight="1">
      <c r="A28" s="153"/>
      <c r="B28" s="175"/>
      <c r="C28" s="141"/>
      <c r="D28" s="515" t="s">
        <v>700</v>
      </c>
      <c r="E28" s="516"/>
      <c r="F28" s="517"/>
      <c r="G28" s="152"/>
      <c r="H28" s="152"/>
      <c r="I28" s="152"/>
      <c r="J28" s="1146" t="s">
        <v>219</v>
      </c>
      <c r="K28" s="1146"/>
      <c r="L28" s="1146"/>
      <c r="M28" s="1214">
        <f>학생성명</f>
        <v>0</v>
      </c>
      <c r="N28" s="1214"/>
      <c r="O28" s="1214"/>
      <c r="P28" s="1214"/>
      <c r="Q28" s="1214"/>
      <c r="R28" s="1214"/>
      <c r="S28" s="1213" t="s">
        <v>218</v>
      </c>
      <c r="T28" s="1213"/>
      <c r="W28" s="152"/>
      <c r="X28" s="154"/>
      <c r="Y28" s="267"/>
    </row>
    <row r="29" spans="1:25" ht="17.25" customHeight="1" thickBot="1">
      <c r="A29" s="153"/>
      <c r="B29" s="176"/>
      <c r="C29" s="177"/>
      <c r="D29" s="518" t="s">
        <v>698</v>
      </c>
      <c r="E29" s="519"/>
      <c r="F29" s="52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54"/>
      <c r="Y29" s="265"/>
    </row>
    <row r="30" spans="1:25" ht="20.1" customHeight="1">
      <c r="A30" s="153"/>
      <c r="B30" s="141"/>
      <c r="C30" s="141"/>
      <c r="D30" s="1229" t="s">
        <v>699</v>
      </c>
      <c r="E30" s="1230"/>
      <c r="F30" s="1231"/>
      <c r="G30" s="141"/>
      <c r="H30" s="1215" t="s">
        <v>22</v>
      </c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57"/>
      <c r="Y30" s="265"/>
    </row>
    <row r="31" spans="1:25" ht="9.95" customHeight="1" thickBot="1">
      <c r="A31" s="153"/>
      <c r="B31" s="141"/>
      <c r="C31" s="141"/>
      <c r="D31" s="141"/>
      <c r="E31" s="141"/>
      <c r="F31" s="141"/>
      <c r="G31" s="14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57"/>
      <c r="Y31" s="265"/>
    </row>
    <row r="32" spans="1:25" ht="9.95" customHeight="1">
      <c r="A32" s="166"/>
      <c r="B32" s="167"/>
      <c r="C32" s="167"/>
      <c r="D32" s="167"/>
      <c r="E32" s="167"/>
      <c r="F32" s="167"/>
      <c r="G32" s="167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265"/>
    </row>
    <row r="33" spans="1:25" ht="39.95" customHeight="1">
      <c r="A33" s="1207" t="s">
        <v>233</v>
      </c>
      <c r="B33" s="1208"/>
      <c r="C33" s="1208"/>
      <c r="D33" s="1208"/>
      <c r="E33" s="1208"/>
      <c r="F33" s="1208"/>
      <c r="G33" s="1208"/>
      <c r="H33" s="1208"/>
      <c r="I33" s="1208"/>
      <c r="J33" s="1208"/>
      <c r="K33" s="1208"/>
      <c r="L33" s="1208"/>
      <c r="M33" s="1208"/>
      <c r="N33" s="1208"/>
      <c r="O33" s="1208"/>
      <c r="P33" s="1208"/>
      <c r="Q33" s="1208"/>
      <c r="R33" s="1208"/>
      <c r="S33" s="1208"/>
      <c r="T33" s="1208"/>
      <c r="U33" s="1208"/>
      <c r="V33" s="1208"/>
      <c r="W33" s="1208"/>
      <c r="X33" s="1209"/>
      <c r="Y33" s="265"/>
    </row>
    <row r="34" spans="1:25" ht="20.1" customHeight="1">
      <c r="A34" s="158"/>
      <c r="B34" s="148"/>
      <c r="C34" s="148"/>
      <c r="D34" s="148"/>
      <c r="E34" s="141"/>
      <c r="F34" s="141"/>
      <c r="G34" s="1210" t="str">
        <f>IF(원서작성일자="","",TEXT(원서작성일자,"yyyy 년   mm 월   dd 일"))</f>
        <v/>
      </c>
      <c r="H34" s="1210"/>
      <c r="I34" s="1210"/>
      <c r="J34" s="1210"/>
      <c r="K34" s="1210"/>
      <c r="L34" s="1210"/>
      <c r="M34" s="1210"/>
      <c r="N34" s="1210"/>
      <c r="O34" s="1210"/>
      <c r="P34" s="1210"/>
      <c r="Q34" s="1210"/>
      <c r="R34" s="1210"/>
      <c r="S34" s="141"/>
      <c r="T34" s="141"/>
      <c r="U34" s="141"/>
      <c r="V34" s="141"/>
      <c r="W34" s="141"/>
      <c r="X34" s="154"/>
      <c r="Y34" s="265"/>
    </row>
    <row r="35" spans="1:25" ht="20.1" customHeight="1">
      <c r="A35" s="1224" t="s">
        <v>234</v>
      </c>
      <c r="B35" s="1225"/>
      <c r="C35" s="1228" t="str">
        <f>학교광역시도&amp;" "&amp;학교시군구</f>
        <v xml:space="preserve"> </v>
      </c>
      <c r="D35" s="1228"/>
      <c r="E35" s="1228"/>
      <c r="F35" s="1228"/>
      <c r="G35" s="1228"/>
      <c r="H35" s="1228"/>
      <c r="I35" s="1228"/>
      <c r="J35" s="1228"/>
      <c r="K35" s="1226" t="s">
        <v>235</v>
      </c>
      <c r="L35" s="1226"/>
      <c r="M35" s="1227">
        <f>학교전화번호</f>
        <v>0</v>
      </c>
      <c r="N35" s="1227"/>
      <c r="O35" s="1227"/>
      <c r="P35" s="1227"/>
      <c r="Q35" s="1227"/>
      <c r="R35" s="1211" t="s">
        <v>236</v>
      </c>
      <c r="S35" s="1211"/>
      <c r="T35" s="1115">
        <f>학교팩스번호</f>
        <v>0</v>
      </c>
      <c r="U35" s="1115"/>
      <c r="V35" s="1115"/>
      <c r="W35" s="1115"/>
      <c r="X35" s="1212"/>
      <c r="Y35" s="265"/>
    </row>
    <row r="36" spans="1:25" s="149" customFormat="1" ht="9.95" customHeight="1">
      <c r="A36" s="1199"/>
      <c r="B36" s="1200"/>
      <c r="C36" s="1200"/>
      <c r="D36" s="1200"/>
      <c r="E36" s="1200"/>
      <c r="F36" s="138"/>
      <c r="G36" s="150"/>
      <c r="H36" s="150"/>
      <c r="I36" s="150"/>
      <c r="J36" s="150"/>
      <c r="K36" s="150"/>
      <c r="L36" s="150"/>
      <c r="M36" s="1200"/>
      <c r="N36" s="1200"/>
      <c r="O36" s="1200"/>
      <c r="P36" s="1200"/>
      <c r="Q36" s="1200"/>
      <c r="R36" s="1216"/>
      <c r="S36" s="1216"/>
      <c r="T36" s="1216"/>
      <c r="U36" s="1216"/>
      <c r="V36" s="1216"/>
      <c r="W36" s="1216"/>
      <c r="X36" s="1217"/>
      <c r="Y36" s="268"/>
    </row>
    <row r="37" spans="2:25" ht="22.5">
      <c r="B37" s="642"/>
      <c r="C37" s="146"/>
      <c r="D37" s="141"/>
      <c r="E37" s="147" t="s">
        <v>47</v>
      </c>
      <c r="F37" s="1198">
        <f>출신학교명</f>
        <v>0</v>
      </c>
      <c r="G37" s="1198"/>
      <c r="H37" s="1198"/>
      <c r="I37" s="1198"/>
      <c r="J37" s="1198"/>
      <c r="K37" s="1198"/>
      <c r="L37" s="145" t="s">
        <v>48</v>
      </c>
      <c r="M37" s="1223" t="s">
        <v>556</v>
      </c>
      <c r="N37" s="1223"/>
      <c r="O37" s="1223"/>
      <c r="P37" s="1223"/>
      <c r="Q37" s="1223"/>
      <c r="R37" s="1223"/>
      <c r="S37" s="1223"/>
      <c r="T37" s="1223"/>
      <c r="U37" s="1223"/>
      <c r="V37" s="141"/>
      <c r="W37" s="141"/>
      <c r="X37" s="154"/>
      <c r="Y37" s="265"/>
    </row>
    <row r="38" spans="1:25" ht="9.95" customHeight="1" thickBot="1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1"/>
      <c r="Y38" s="265"/>
    </row>
    <row r="39" spans="1:6" ht="15.95" customHeight="1">
      <c r="A39" s="140"/>
      <c r="F39" s="642" t="str">
        <f ca="1">IF(OR(AND(확인_울산광역시_이름=FALSE,확인_울산중학교_이름=TRUE),AND(확인_울산광역시_이름=TRUE,확인_울산중학교_이름=FALSE)),"울산지역이면 학교이름 확인요망","")</f>
        <v/>
      </c>
    </row>
    <row r="40" ht="20.1" customHeight="1">
      <c r="A40" s="434"/>
    </row>
    <row r="41" ht="16.5" customHeight="1"/>
    <row r="42" ht="16.5" customHeight="1"/>
    <row r="43" ht="21.9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algorithmName="SHA-512" hashValue="snPb7Kx4zKWwE2DX95BQK4vIHhxL2JBO70ii/0qX8LvgI6kN+BYKkOZfm9KXEY9hsJKJ7mnpGtlTbUjE7ScARA==" saltValue="nFnxMwC2515AGFX/0VOyQw==" spinCount="100000" sheet="1" scenarios="1"/>
  <mergeCells count="119">
    <mergeCell ref="Z1:AF1"/>
    <mergeCell ref="Z2:AF2"/>
    <mergeCell ref="Z3:AF3"/>
    <mergeCell ref="Z9:AF10"/>
    <mergeCell ref="C18:G18"/>
    <mergeCell ref="H20:L20"/>
    <mergeCell ref="A18:B21"/>
    <mergeCell ref="H21:L21"/>
    <mergeCell ref="C19:G19"/>
    <mergeCell ref="M20:P20"/>
    <mergeCell ref="Q20:T20"/>
    <mergeCell ref="M21:P21"/>
    <mergeCell ref="Q21:T21"/>
    <mergeCell ref="U20:X20"/>
    <mergeCell ref="U21:X21"/>
    <mergeCell ref="C20:G20"/>
    <mergeCell ref="C21:G21"/>
    <mergeCell ref="N16:O16"/>
    <mergeCell ref="P16:Q16"/>
    <mergeCell ref="H18:L19"/>
    <mergeCell ref="R15:S15"/>
    <mergeCell ref="T15:U15"/>
    <mergeCell ref="S7:X7"/>
    <mergeCell ref="J9:P9"/>
    <mergeCell ref="F37:K37"/>
    <mergeCell ref="A36:E36"/>
    <mergeCell ref="B23:E27"/>
    <mergeCell ref="A33:X33"/>
    <mergeCell ref="G34:R34"/>
    <mergeCell ref="R35:S35"/>
    <mergeCell ref="T35:X35"/>
    <mergeCell ref="S28:T28"/>
    <mergeCell ref="M28:R28"/>
    <mergeCell ref="J26:U26"/>
    <mergeCell ref="H30:W30"/>
    <mergeCell ref="M36:Q36"/>
    <mergeCell ref="R36:X36"/>
    <mergeCell ref="G23:X25"/>
    <mergeCell ref="J27:L27"/>
    <mergeCell ref="V27:W27"/>
    <mergeCell ref="M37:U37"/>
    <mergeCell ref="A35:B35"/>
    <mergeCell ref="K35:L35"/>
    <mergeCell ref="M35:Q35"/>
    <mergeCell ref="C35:J35"/>
    <mergeCell ref="D30:F30"/>
    <mergeCell ref="J10:P10"/>
    <mergeCell ref="Q9:W9"/>
    <mergeCell ref="Q10:W10"/>
    <mergeCell ref="X9:X10"/>
    <mergeCell ref="A9:B10"/>
    <mergeCell ref="C9:I9"/>
    <mergeCell ref="C10:I10"/>
    <mergeCell ref="C8:H8"/>
    <mergeCell ref="A8:B8"/>
    <mergeCell ref="I8:R8"/>
    <mergeCell ref="S8:T8"/>
    <mergeCell ref="U8:X8"/>
    <mergeCell ref="A1:X1"/>
    <mergeCell ref="J28:L28"/>
    <mergeCell ref="C4:E4"/>
    <mergeCell ref="F4:H4"/>
    <mergeCell ref="I4:N4"/>
    <mergeCell ref="O4:Q4"/>
    <mergeCell ref="A3:B5"/>
    <mergeCell ref="C3:E3"/>
    <mergeCell ref="M2:P2"/>
    <mergeCell ref="A2:E2"/>
    <mergeCell ref="F2:L2"/>
    <mergeCell ref="K3:N3"/>
    <mergeCell ref="R4:X4"/>
    <mergeCell ref="O3:S3"/>
    <mergeCell ref="F3:J3"/>
    <mergeCell ref="T3:U3"/>
    <mergeCell ref="V3:X3"/>
    <mergeCell ref="A7:B7"/>
    <mergeCell ref="C7:H7"/>
    <mergeCell ref="I7:R7"/>
    <mergeCell ref="F5:X5"/>
    <mergeCell ref="C5:E5"/>
    <mergeCell ref="Q2:T2"/>
    <mergeCell ref="U2:X2"/>
    <mergeCell ref="Z23:AF26"/>
    <mergeCell ref="M27:U27"/>
    <mergeCell ref="N13:O13"/>
    <mergeCell ref="P13:Q13"/>
    <mergeCell ref="R13:S13"/>
    <mergeCell ref="T13:U13"/>
    <mergeCell ref="N12:U12"/>
    <mergeCell ref="N14:O14"/>
    <mergeCell ref="P14:Q14"/>
    <mergeCell ref="R14:S14"/>
    <mergeCell ref="T14:U14"/>
    <mergeCell ref="U18:X19"/>
    <mergeCell ref="L16:M16"/>
    <mergeCell ref="V12:X13"/>
    <mergeCell ref="V14:X14"/>
    <mergeCell ref="V15:X15"/>
    <mergeCell ref="V16:X16"/>
    <mergeCell ref="M18:P19"/>
    <mergeCell ref="Q18:T19"/>
    <mergeCell ref="R16:S16"/>
    <mergeCell ref="T16:U16"/>
    <mergeCell ref="N15:O15"/>
    <mergeCell ref="P15:Q15"/>
    <mergeCell ref="A16:E16"/>
    <mergeCell ref="F16:G16"/>
    <mergeCell ref="H16:K16"/>
    <mergeCell ref="A12:G13"/>
    <mergeCell ref="A14:E14"/>
    <mergeCell ref="F14:G14"/>
    <mergeCell ref="H14:K14"/>
    <mergeCell ref="A15:E15"/>
    <mergeCell ref="F15:G15"/>
    <mergeCell ref="H15:K15"/>
    <mergeCell ref="H12:M12"/>
    <mergeCell ref="H13:M13"/>
    <mergeCell ref="L14:M14"/>
    <mergeCell ref="L15:M15"/>
  </mergeCells>
  <conditionalFormatting sqref="X9:X10">
    <cfRule type="expression" priority="13" dxfId="11">
      <formula>지망학과_오류검증=TRUE</formula>
    </cfRule>
  </conditionalFormatting>
  <conditionalFormatting sqref="Q10:W10">
    <cfRule type="expression" priority="12" dxfId="2">
      <formula>OR($Q$10="지망(희망) 안함",$Q$10="")</formula>
    </cfRule>
  </conditionalFormatting>
  <conditionalFormatting sqref="J10:P10">
    <cfRule type="expression" priority="11" dxfId="2">
      <formula>OR($J$10="지망(희망) 안함",$J$10="")</formula>
    </cfRule>
  </conditionalFormatting>
  <conditionalFormatting sqref="C10:I10">
    <cfRule type="expression" priority="10" dxfId="2">
      <formula>$C$10=""</formula>
    </cfRule>
  </conditionalFormatting>
  <conditionalFormatting sqref="F39 F37:K37">
    <cfRule type="expression" priority="5" dxfId="7">
      <formula>확인_울산지역_울산학교이름=FALSE</formula>
    </cfRule>
  </conditionalFormatting>
  <conditionalFormatting sqref="C10:W10">
    <cfRule type="expression" priority="4" dxfId="6">
      <formula>지망학과_오류검증=FALSE</formula>
    </cfRule>
  </conditionalFormatting>
  <conditionalFormatting sqref="A33:X36 C37:X37">
    <cfRule type="expression" priority="3" dxfId="5">
      <formula>OR(학력선택="검정고시합격",AND(전형구분선택="특례입학전형",특례입학유형선택="82조3항 제1호"))</formula>
    </cfRule>
  </conditionalFormatting>
  <conditionalFormatting sqref="F14:F16 H14 L15:L16 N14:U16">
    <cfRule type="expression" priority="2" dxfId="4" stopIfTrue="1">
      <formula>학력선택번호=3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B54"/>
  <sheetViews>
    <sheetView showGridLines="0" view="pageBreakPreview" zoomScaleSheetLayoutView="100" workbookViewId="0" topLeftCell="A7">
      <selection activeCell="U17" sqref="U17"/>
    </sheetView>
  </sheetViews>
  <sheetFormatPr defaultColWidth="9.140625" defaultRowHeight="15"/>
  <cols>
    <col min="1" max="2" width="8.57421875" style="1" customWidth="1"/>
    <col min="3" max="3" width="27.57421875" style="1" customWidth="1"/>
    <col min="4" max="5" width="1.28515625" style="1" customWidth="1"/>
    <col min="6" max="14" width="3.57421875" style="1" customWidth="1"/>
    <col min="15" max="18" width="2.8515625" style="1" customWidth="1"/>
    <col min="19" max="19" width="1.57421875" style="1" customWidth="1"/>
    <col min="20" max="16384" width="9.00390625" style="1" customWidth="1"/>
  </cols>
  <sheetData>
    <row r="1" spans="1:54" ht="32.25" thickBot="1">
      <c r="A1" s="1340" t="s">
        <v>79</v>
      </c>
      <c r="B1" s="1341"/>
      <c r="C1" s="1342"/>
      <c r="D1" s="4"/>
      <c r="E1" s="2"/>
      <c r="F1" s="1328" t="s">
        <v>0</v>
      </c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30"/>
      <c r="T1" s="1114" t="s">
        <v>354</v>
      </c>
      <c r="U1" s="1114"/>
      <c r="V1" s="1114"/>
      <c r="W1" s="1114"/>
      <c r="X1" s="1114"/>
      <c r="Y1" s="1114"/>
      <c r="Z1" s="1114"/>
      <c r="AA1" s="1114"/>
      <c r="AB1" s="1114"/>
      <c r="AC1" s="1114"/>
      <c r="AD1" s="1114"/>
      <c r="AE1" s="1114"/>
      <c r="AF1" s="1114"/>
      <c r="AG1" s="1114"/>
      <c r="AH1" s="1114"/>
      <c r="AI1" s="1114"/>
      <c r="AJ1" s="1114"/>
      <c r="AK1" s="1114"/>
      <c r="AL1" s="1114"/>
      <c r="AM1" s="1114"/>
      <c r="AN1" s="1114"/>
      <c r="AO1" s="1114"/>
      <c r="AP1" s="1114"/>
      <c r="AQ1" s="1114"/>
      <c r="AR1" s="1114"/>
      <c r="AS1" s="1114"/>
      <c r="AT1" s="1114"/>
      <c r="AU1" s="1114"/>
      <c r="AV1" s="1114"/>
      <c r="AW1" s="1114"/>
      <c r="AX1" s="1114"/>
      <c r="AY1" s="1114"/>
      <c r="AZ1" s="1114"/>
      <c r="BA1" s="1114"/>
      <c r="BB1" s="1114"/>
    </row>
    <row r="2" spans="1:54" ht="20.1" customHeight="1">
      <c r="A2" s="1358" t="s">
        <v>800</v>
      </c>
      <c r="B2" s="1359"/>
      <c r="C2" s="1360"/>
      <c r="D2" s="4"/>
      <c r="E2" s="2"/>
      <c r="F2" s="1281" t="s">
        <v>1</v>
      </c>
      <c r="G2" s="1282"/>
      <c r="H2" s="1282"/>
      <c r="I2" s="1334" t="str">
        <f>수험번호</f>
        <v>※</v>
      </c>
      <c r="J2" s="1335"/>
      <c r="K2" s="1335"/>
      <c r="L2" s="1335"/>
      <c r="M2" s="1336"/>
      <c r="N2" s="1337" t="str">
        <f>Version</f>
        <v>Ver: 2019.09.16.</v>
      </c>
      <c r="O2" s="1338"/>
      <c r="P2" s="1338"/>
      <c r="Q2" s="1338"/>
      <c r="R2" s="1339"/>
      <c r="T2" s="222" t="s">
        <v>356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</row>
    <row r="3" spans="1:18" ht="42" customHeight="1">
      <c r="A3" s="1361"/>
      <c r="B3" s="1362"/>
      <c r="C3" s="1363"/>
      <c r="D3" s="4"/>
      <c r="E3" s="2"/>
      <c r="F3" s="1281" t="s">
        <v>28</v>
      </c>
      <c r="G3" s="1282"/>
      <c r="H3" s="1282"/>
      <c r="I3" s="182"/>
      <c r="J3" s="1333">
        <f>학생성명</f>
        <v>0</v>
      </c>
      <c r="K3" s="1333"/>
      <c r="L3" s="1333"/>
      <c r="M3" s="1333"/>
      <c r="N3" s="1333"/>
      <c r="O3" s="1333"/>
      <c r="P3" s="1333"/>
      <c r="Q3" s="178"/>
      <c r="R3" s="179"/>
    </row>
    <row r="4" spans="1:18" ht="20.1" customHeight="1">
      <c r="A4" s="1361"/>
      <c r="B4" s="1362"/>
      <c r="C4" s="1363"/>
      <c r="D4" s="4"/>
      <c r="E4" s="2"/>
      <c r="F4" s="1281" t="s">
        <v>2</v>
      </c>
      <c r="G4" s="1282"/>
      <c r="H4" s="1282"/>
      <c r="I4" s="1302" t="s">
        <v>239</v>
      </c>
      <c r="J4" s="1303"/>
      <c r="K4" s="1303"/>
      <c r="L4" s="1303"/>
      <c r="M4" s="1331" t="str">
        <f>제1지망학과</f>
        <v/>
      </c>
      <c r="N4" s="1331"/>
      <c r="O4" s="1331"/>
      <c r="P4" s="1331"/>
      <c r="Q4" s="1331"/>
      <c r="R4" s="1332"/>
    </row>
    <row r="5" spans="1:18" ht="20.1" customHeight="1">
      <c r="A5" s="1361"/>
      <c r="B5" s="1362"/>
      <c r="C5" s="1363"/>
      <c r="D5" s="4"/>
      <c r="E5" s="2"/>
      <c r="F5" s="1281"/>
      <c r="G5" s="1282"/>
      <c r="H5" s="1282"/>
      <c r="I5" s="1302" t="s">
        <v>240</v>
      </c>
      <c r="J5" s="1303"/>
      <c r="K5" s="1303"/>
      <c r="L5" s="1303"/>
      <c r="M5" s="1331" t="str">
        <f>제2지망학과</f>
        <v/>
      </c>
      <c r="N5" s="1331"/>
      <c r="O5" s="1331"/>
      <c r="P5" s="1331"/>
      <c r="Q5" s="1331"/>
      <c r="R5" s="1332"/>
    </row>
    <row r="6" spans="1:18" ht="20.1" customHeight="1">
      <c r="A6" s="1361"/>
      <c r="B6" s="1362"/>
      <c r="C6" s="1363"/>
      <c r="D6" s="4"/>
      <c r="E6" s="2"/>
      <c r="F6" s="1281"/>
      <c r="G6" s="1282"/>
      <c r="H6" s="1282"/>
      <c r="I6" s="1302" t="s">
        <v>241</v>
      </c>
      <c r="J6" s="1303"/>
      <c r="K6" s="1303"/>
      <c r="L6" s="1303"/>
      <c r="M6" s="1331" t="str">
        <f>제3지망학과</f>
        <v/>
      </c>
      <c r="N6" s="1331"/>
      <c r="O6" s="1331"/>
      <c r="P6" s="1331"/>
      <c r="Q6" s="1331"/>
      <c r="R6" s="1332"/>
    </row>
    <row r="7" spans="1:18" ht="20.1" customHeight="1">
      <c r="A7" s="1361"/>
      <c r="B7" s="1362"/>
      <c r="C7" s="1363"/>
      <c r="D7" s="4"/>
      <c r="E7" s="2"/>
      <c r="F7" s="1281" t="s">
        <v>3</v>
      </c>
      <c r="G7" s="1282"/>
      <c r="H7" s="1282"/>
      <c r="I7" s="1283">
        <f>출신학교명</f>
        <v>0</v>
      </c>
      <c r="J7" s="1284"/>
      <c r="K7" s="1284"/>
      <c r="L7" s="1284"/>
      <c r="M7" s="1284"/>
      <c r="N7" s="1279" t="s">
        <v>557</v>
      </c>
      <c r="O7" s="1279"/>
      <c r="P7" s="1279"/>
      <c r="Q7" s="1279"/>
      <c r="R7" s="1280"/>
    </row>
    <row r="8" spans="1:18" ht="20.1" customHeight="1">
      <c r="A8" s="1361"/>
      <c r="B8" s="1362"/>
      <c r="C8" s="1363"/>
      <c r="D8" s="4"/>
      <c r="E8" s="2"/>
      <c r="F8" s="1285" t="str">
        <f>학력선택&amp;"자   :   "&amp;전형구분선택</f>
        <v>졸업예정자   :   특별전형</v>
      </c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6"/>
      <c r="R8" s="1287"/>
    </row>
    <row r="9" spans="1:18" ht="9.95" customHeight="1" thickBot="1">
      <c r="A9" s="1361"/>
      <c r="B9" s="1362"/>
      <c r="C9" s="1363"/>
      <c r="D9" s="4"/>
      <c r="E9" s="2"/>
      <c r="F9" s="183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4"/>
    </row>
    <row r="10" spans="1:26" ht="16.5" customHeight="1">
      <c r="A10" s="1361"/>
      <c r="B10" s="1362"/>
      <c r="C10" s="1363"/>
      <c r="D10" s="4"/>
      <c r="E10" s="2"/>
      <c r="F10" s="183"/>
      <c r="G10" s="182"/>
      <c r="H10" s="182"/>
      <c r="I10" s="182"/>
      <c r="J10" s="1265" t="s">
        <v>242</v>
      </c>
      <c r="K10" s="1266"/>
      <c r="L10" s="1266"/>
      <c r="M10" s="1267"/>
      <c r="N10" s="182"/>
      <c r="O10" s="182"/>
      <c r="P10" s="182"/>
      <c r="Q10" s="182"/>
      <c r="R10" s="184"/>
      <c r="T10" s="1114" t="s">
        <v>358</v>
      </c>
      <c r="U10" s="1114"/>
      <c r="V10" s="1114"/>
      <c r="W10" s="1114"/>
      <c r="X10" s="1114"/>
      <c r="Y10" s="1114"/>
      <c r="Z10" s="1114"/>
    </row>
    <row r="11" spans="1:26" ht="16.5" customHeight="1">
      <c r="A11" s="1361"/>
      <c r="B11" s="1362"/>
      <c r="C11" s="1363"/>
      <c r="D11" s="4"/>
      <c r="E11" s="2"/>
      <c r="F11" s="183"/>
      <c r="G11" s="182"/>
      <c r="H11" s="182"/>
      <c r="I11" s="182"/>
      <c r="J11" s="1268"/>
      <c r="K11" s="1269"/>
      <c r="L11" s="1269"/>
      <c r="M11" s="1270"/>
      <c r="N11" s="182"/>
      <c r="O11" s="182"/>
      <c r="P11" s="182"/>
      <c r="Q11" s="182"/>
      <c r="R11" s="184"/>
      <c r="T11" s="1114"/>
      <c r="U11" s="1114"/>
      <c r="V11" s="1114"/>
      <c r="W11" s="1114"/>
      <c r="X11" s="1114"/>
      <c r="Y11" s="1114"/>
      <c r="Z11" s="1114"/>
    </row>
    <row r="12" spans="1:26" ht="16.5" customHeight="1">
      <c r="A12" s="1361"/>
      <c r="B12" s="1362"/>
      <c r="C12" s="1363"/>
      <c r="D12" s="4"/>
      <c r="E12" s="2"/>
      <c r="F12" s="183"/>
      <c r="G12" s="182"/>
      <c r="H12" s="182"/>
      <c r="I12" s="182"/>
      <c r="J12" s="1268"/>
      <c r="K12" s="1269"/>
      <c r="L12" s="1269"/>
      <c r="M12" s="1270"/>
      <c r="N12" s="182"/>
      <c r="O12" s="182"/>
      <c r="P12" s="182"/>
      <c r="Q12" s="182"/>
      <c r="R12" s="184"/>
      <c r="T12" s="1114"/>
      <c r="U12" s="1114"/>
      <c r="V12" s="1114"/>
      <c r="W12" s="1114"/>
      <c r="X12" s="1114"/>
      <c r="Y12" s="1114"/>
      <c r="Z12" s="1114"/>
    </row>
    <row r="13" spans="1:26" ht="16.5" customHeight="1">
      <c r="A13" s="1361"/>
      <c r="B13" s="1362"/>
      <c r="C13" s="1363"/>
      <c r="D13" s="4"/>
      <c r="E13" s="2"/>
      <c r="F13" s="183"/>
      <c r="G13" s="182"/>
      <c r="H13" s="182"/>
      <c r="I13" s="182"/>
      <c r="J13" s="1268"/>
      <c r="K13" s="1269"/>
      <c r="L13" s="1269"/>
      <c r="M13" s="1270"/>
      <c r="N13" s="182"/>
      <c r="O13" s="182"/>
      <c r="P13" s="182"/>
      <c r="Q13" s="182"/>
      <c r="R13" s="184"/>
      <c r="T13" s="1114"/>
      <c r="U13" s="1114"/>
      <c r="V13" s="1114"/>
      <c r="W13" s="1114"/>
      <c r="X13" s="1114"/>
      <c r="Y13" s="1114"/>
      <c r="Z13" s="1114"/>
    </row>
    <row r="14" spans="1:18" ht="16.5" customHeight="1">
      <c r="A14" s="1361"/>
      <c r="B14" s="1362"/>
      <c r="C14" s="1363"/>
      <c r="D14" s="4"/>
      <c r="E14" s="2"/>
      <c r="F14" s="183"/>
      <c r="G14" s="182"/>
      <c r="H14" s="182"/>
      <c r="I14" s="182"/>
      <c r="J14" s="1268"/>
      <c r="K14" s="1269"/>
      <c r="L14" s="1269"/>
      <c r="M14" s="1270"/>
      <c r="N14" s="182"/>
      <c r="O14" s="182"/>
      <c r="P14" s="182"/>
      <c r="Q14" s="182"/>
      <c r="R14" s="184"/>
    </row>
    <row r="15" spans="1:18" ht="16.5" customHeight="1">
      <c r="A15" s="1361"/>
      <c r="B15" s="1362"/>
      <c r="C15" s="1363"/>
      <c r="D15" s="4"/>
      <c r="E15" s="2"/>
      <c r="F15" s="183"/>
      <c r="G15" s="182"/>
      <c r="H15" s="182"/>
      <c r="I15" s="182"/>
      <c r="J15" s="1268"/>
      <c r="K15" s="1269"/>
      <c r="L15" s="1269"/>
      <c r="M15" s="1270"/>
      <c r="N15" s="182"/>
      <c r="O15" s="182"/>
      <c r="P15" s="182"/>
      <c r="Q15" s="182"/>
      <c r="R15" s="184"/>
    </row>
    <row r="16" spans="1:18" ht="16.5" customHeight="1" thickBot="1">
      <c r="A16" s="1361"/>
      <c r="B16" s="1362"/>
      <c r="C16" s="1363"/>
      <c r="D16" s="4"/>
      <c r="E16" s="2"/>
      <c r="F16" s="183"/>
      <c r="G16" s="182"/>
      <c r="H16" s="182"/>
      <c r="I16" s="182"/>
      <c r="J16" s="185"/>
      <c r="K16" s="186"/>
      <c r="L16" s="512" t="s">
        <v>697</v>
      </c>
      <c r="M16" s="513"/>
      <c r="N16" s="514"/>
      <c r="O16" s="182"/>
      <c r="P16" s="182"/>
      <c r="Q16" s="182"/>
      <c r="R16" s="184"/>
    </row>
    <row r="17" spans="1:18" ht="16.5" customHeight="1">
      <c r="A17" s="1361"/>
      <c r="B17" s="1362"/>
      <c r="C17" s="1363"/>
      <c r="D17" s="4"/>
      <c r="E17" s="2"/>
      <c r="F17" s="183"/>
      <c r="G17" s="182"/>
      <c r="H17" s="182"/>
      <c r="I17" s="182"/>
      <c r="J17" s="182"/>
      <c r="K17" s="182"/>
      <c r="L17" s="1271" t="s">
        <v>243</v>
      </c>
      <c r="M17" s="1269"/>
      <c r="N17" s="1272"/>
      <c r="O17" s="182"/>
      <c r="P17" s="182"/>
      <c r="Q17" s="182"/>
      <c r="R17" s="184"/>
    </row>
    <row r="18" spans="1:18" ht="16.5" customHeight="1">
      <c r="A18" s="1361"/>
      <c r="B18" s="1362"/>
      <c r="C18" s="1363"/>
      <c r="D18" s="4"/>
      <c r="E18" s="2"/>
      <c r="F18" s="183"/>
      <c r="G18" s="182"/>
      <c r="H18" s="182"/>
      <c r="I18" s="182"/>
      <c r="J18" s="182"/>
      <c r="K18" s="182"/>
      <c r="L18" s="1273" t="s">
        <v>244</v>
      </c>
      <c r="M18" s="1274"/>
      <c r="N18" s="1275"/>
      <c r="O18" s="182"/>
      <c r="P18" s="182"/>
      <c r="Q18" s="182"/>
      <c r="R18" s="184"/>
    </row>
    <row r="19" spans="1:18" ht="9.95" customHeight="1">
      <c r="A19" s="330"/>
      <c r="B19" s="331"/>
      <c r="C19" s="332"/>
      <c r="D19" s="4"/>
      <c r="E19" s="2"/>
      <c r="F19" s="183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4"/>
    </row>
    <row r="20" spans="1:18" ht="21" thickBot="1">
      <c r="A20" s="1364"/>
      <c r="B20" s="1365"/>
      <c r="C20" s="333"/>
      <c r="D20" s="4"/>
      <c r="E20" s="2"/>
      <c r="F20" s="1276" t="s">
        <v>4</v>
      </c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8"/>
    </row>
    <row r="21" spans="1:18" ht="9.95" customHeight="1">
      <c r="A21" s="28"/>
      <c r="B21" s="28"/>
      <c r="C21" s="28"/>
      <c r="D21" s="29"/>
      <c r="E21" s="174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</row>
    <row r="22" spans="1:5" ht="9.95" customHeight="1" thickBot="1">
      <c r="A22" s="30"/>
      <c r="B22" s="30"/>
      <c r="C22" s="30"/>
      <c r="D22" s="31"/>
      <c r="E22" s="2"/>
    </row>
    <row r="23" spans="1:18" ht="30" customHeight="1">
      <c r="A23" s="1290" t="s">
        <v>823</v>
      </c>
      <c r="B23" s="1291"/>
      <c r="C23" s="1292"/>
      <c r="D23" s="4"/>
      <c r="E23" s="2"/>
      <c r="F23" s="1322" t="s">
        <v>5</v>
      </c>
      <c r="G23" s="1323"/>
      <c r="H23" s="1323"/>
      <c r="I23" s="1323"/>
      <c r="J23" s="1323"/>
      <c r="K23" s="1323"/>
      <c r="L23" s="1323"/>
      <c r="M23" s="1323"/>
      <c r="N23" s="1323"/>
      <c r="O23" s="1323"/>
      <c r="P23" s="1323"/>
      <c r="Q23" s="1323"/>
      <c r="R23" s="1324"/>
    </row>
    <row r="24" spans="1:18" ht="20.1" customHeight="1">
      <c r="A24" s="1293"/>
      <c r="B24" s="1294"/>
      <c r="C24" s="1295"/>
      <c r="D24" s="4"/>
      <c r="E24" s="2"/>
      <c r="F24" s="1325" t="s">
        <v>245</v>
      </c>
      <c r="G24" s="1326"/>
      <c r="H24" s="1326"/>
      <c r="I24" s="1313" t="str">
        <f>수험번호</f>
        <v>※</v>
      </c>
      <c r="J24" s="1314"/>
      <c r="K24" s="1314"/>
      <c r="L24" s="1314"/>
      <c r="M24" s="1315"/>
      <c r="N24" s="1316" t="str">
        <f>Version</f>
        <v>Ver: 2019.09.16.</v>
      </c>
      <c r="O24" s="1317"/>
      <c r="P24" s="1317"/>
      <c r="Q24" s="1317"/>
      <c r="R24" s="1318"/>
    </row>
    <row r="25" spans="1:18" ht="20.1" customHeight="1">
      <c r="A25" s="1293"/>
      <c r="B25" s="1294"/>
      <c r="C25" s="1295"/>
      <c r="D25" s="4"/>
      <c r="E25" s="2"/>
      <c r="F25" s="1281" t="s">
        <v>28</v>
      </c>
      <c r="G25" s="1282"/>
      <c r="H25" s="1282"/>
      <c r="I25" s="182"/>
      <c r="J25" s="1327">
        <f>학생성명</f>
        <v>0</v>
      </c>
      <c r="K25" s="1327"/>
      <c r="L25" s="1327"/>
      <c r="M25" s="1327"/>
      <c r="N25" s="1327"/>
      <c r="O25" s="1327"/>
      <c r="P25" s="1327"/>
      <c r="Q25" s="178"/>
      <c r="R25" s="179"/>
    </row>
    <row r="26" spans="1:18" ht="20.1" customHeight="1">
      <c r="A26" s="1293"/>
      <c r="B26" s="1294"/>
      <c r="C26" s="1295"/>
      <c r="D26" s="4"/>
      <c r="E26" s="2"/>
      <c r="F26" s="1281" t="s">
        <v>2</v>
      </c>
      <c r="G26" s="1282"/>
      <c r="H26" s="1282"/>
      <c r="I26" s="1302" t="s">
        <v>239</v>
      </c>
      <c r="J26" s="1303"/>
      <c r="K26" s="1303"/>
      <c r="L26" s="1303"/>
      <c r="M26" s="1304" t="str">
        <f>제1지망학과</f>
        <v/>
      </c>
      <c r="N26" s="1304"/>
      <c r="O26" s="1304"/>
      <c r="P26" s="1304"/>
      <c r="Q26" s="1304"/>
      <c r="R26" s="1305"/>
    </row>
    <row r="27" spans="1:18" ht="20.1" customHeight="1">
      <c r="A27" s="1293"/>
      <c r="B27" s="1294"/>
      <c r="C27" s="1295"/>
      <c r="D27" s="4"/>
      <c r="E27" s="2"/>
      <c r="F27" s="1281"/>
      <c r="G27" s="1282"/>
      <c r="H27" s="1282"/>
      <c r="I27" s="1302" t="s">
        <v>240</v>
      </c>
      <c r="J27" s="1303"/>
      <c r="K27" s="1303"/>
      <c r="L27" s="1303"/>
      <c r="M27" s="1304" t="str">
        <f>제2지망학과</f>
        <v/>
      </c>
      <c r="N27" s="1304"/>
      <c r="O27" s="1304"/>
      <c r="P27" s="1304"/>
      <c r="Q27" s="1304"/>
      <c r="R27" s="1305"/>
    </row>
    <row r="28" spans="1:18" ht="20.1" customHeight="1">
      <c r="A28" s="1293"/>
      <c r="B28" s="1294"/>
      <c r="C28" s="1295"/>
      <c r="D28" s="4"/>
      <c r="E28" s="3"/>
      <c r="F28" s="1281"/>
      <c r="G28" s="1282"/>
      <c r="H28" s="1282"/>
      <c r="I28" s="1302" t="s">
        <v>241</v>
      </c>
      <c r="J28" s="1303"/>
      <c r="K28" s="1303"/>
      <c r="L28" s="1303"/>
      <c r="M28" s="1304" t="str">
        <f>제3지망학과</f>
        <v/>
      </c>
      <c r="N28" s="1304"/>
      <c r="O28" s="1304"/>
      <c r="P28" s="1304"/>
      <c r="Q28" s="1304"/>
      <c r="R28" s="1305"/>
    </row>
    <row r="29" spans="1:18" ht="20.1" customHeight="1">
      <c r="A29" s="1293"/>
      <c r="B29" s="1294"/>
      <c r="C29" s="1295"/>
      <c r="D29" s="4"/>
      <c r="E29" s="1308"/>
      <c r="F29" s="1281" t="s">
        <v>3</v>
      </c>
      <c r="G29" s="1282"/>
      <c r="H29" s="1282"/>
      <c r="I29" s="1283">
        <f>출신학교명</f>
        <v>0</v>
      </c>
      <c r="J29" s="1284"/>
      <c r="K29" s="1284"/>
      <c r="L29" s="1284"/>
      <c r="M29" s="1284"/>
      <c r="N29" s="1279" t="s">
        <v>557</v>
      </c>
      <c r="O29" s="1279"/>
      <c r="P29" s="1279"/>
      <c r="Q29" s="1279"/>
      <c r="R29" s="1280"/>
    </row>
    <row r="30" spans="1:18" ht="16.5" customHeight="1" thickBot="1">
      <c r="A30" s="1296"/>
      <c r="B30" s="1297"/>
      <c r="C30" s="1298"/>
      <c r="D30" s="4"/>
      <c r="E30" s="1309"/>
      <c r="F30" s="1285" t="str">
        <f>학력선택&amp;"자   :   "&amp;전형구분선택</f>
        <v>졸업예정자   :   특별전형</v>
      </c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  <c r="R30" s="1287"/>
    </row>
    <row r="31" spans="1:18" ht="16.5" customHeight="1">
      <c r="A31" s="1343" t="s">
        <v>247</v>
      </c>
      <c r="B31" s="1344"/>
      <c r="C31" s="1345"/>
      <c r="D31" s="4"/>
      <c r="E31" s="1309"/>
      <c r="F31" s="183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4"/>
    </row>
    <row r="32" spans="1:18" ht="16.5" customHeight="1">
      <c r="A32" s="1352" t="s">
        <v>6</v>
      </c>
      <c r="B32" s="1353"/>
      <c r="C32" s="170" t="s">
        <v>801</v>
      </c>
      <c r="D32" s="4"/>
      <c r="E32" s="1309"/>
      <c r="F32" s="1319" t="str">
        <f>학년도&amp;"학년도 울산마이스터고등학교 
신입생 입학원서를 위와 같이 접수합니다."</f>
        <v>2020학년도 울산마이스터고등학교 
신입생 입학원서를 위와 같이 접수합니다.</v>
      </c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1"/>
    </row>
    <row r="33" spans="1:18" ht="16.5" customHeight="1">
      <c r="A33" s="1354"/>
      <c r="B33" s="1355"/>
      <c r="C33" s="171" t="s">
        <v>802</v>
      </c>
      <c r="D33" s="4"/>
      <c r="E33" s="2"/>
      <c r="F33" s="1319"/>
      <c r="G33" s="1320"/>
      <c r="H33" s="1320"/>
      <c r="I33" s="1320"/>
      <c r="J33" s="1320"/>
      <c r="K33" s="1320"/>
      <c r="L33" s="1320"/>
      <c r="M33" s="1320"/>
      <c r="N33" s="1320"/>
      <c r="O33" s="1320"/>
      <c r="P33" s="1320"/>
      <c r="Q33" s="1320"/>
      <c r="R33" s="1321"/>
    </row>
    <row r="34" spans="1:18" ht="16.5" customHeight="1">
      <c r="A34" s="1346" t="s">
        <v>7</v>
      </c>
      <c r="B34" s="1347"/>
      <c r="C34" s="172" t="s">
        <v>24</v>
      </c>
      <c r="D34" s="4"/>
      <c r="E34" s="2"/>
      <c r="F34" s="1319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1"/>
    </row>
    <row r="35" spans="1:18" ht="16.5" customHeight="1">
      <c r="A35" s="1348"/>
      <c r="B35" s="1349"/>
      <c r="C35" s="171"/>
      <c r="D35" s="4"/>
      <c r="E35" s="2"/>
      <c r="F35" s="1310"/>
      <c r="G35" s="1311"/>
      <c r="H35" s="1311"/>
      <c r="I35" s="1311"/>
      <c r="J35" s="1311"/>
      <c r="K35" s="1311"/>
      <c r="L35" s="1311"/>
      <c r="M35" s="1311"/>
      <c r="N35" s="1311"/>
      <c r="O35" s="1311"/>
      <c r="P35" s="1311"/>
      <c r="Q35" s="1311"/>
      <c r="R35" s="1312"/>
    </row>
    <row r="36" spans="1:18" ht="16.5" customHeight="1">
      <c r="A36" s="1348" t="s">
        <v>25</v>
      </c>
      <c r="B36" s="1349"/>
      <c r="C36" s="172" t="s">
        <v>803</v>
      </c>
      <c r="D36" s="4"/>
      <c r="E36" s="2"/>
      <c r="F36" s="1310" t="str">
        <f>"          ※  "&amp;학년도-1&amp;"년   10월        일"</f>
        <v xml:space="preserve">          ※  2019년   10월        일</v>
      </c>
      <c r="G36" s="1311"/>
      <c r="H36" s="1311"/>
      <c r="I36" s="1311"/>
      <c r="J36" s="1311"/>
      <c r="K36" s="1311"/>
      <c r="L36" s="1311"/>
      <c r="M36" s="1311"/>
      <c r="N36" s="1311"/>
      <c r="O36" s="1311"/>
      <c r="P36" s="1311"/>
      <c r="Q36" s="1311"/>
      <c r="R36" s="1312"/>
    </row>
    <row r="37" spans="1:18" ht="16.5" customHeight="1">
      <c r="A37" s="1350" t="s">
        <v>248</v>
      </c>
      <c r="B37" s="1351"/>
      <c r="C37" s="171" t="s">
        <v>804</v>
      </c>
      <c r="D37" s="4"/>
      <c r="E37" s="2"/>
      <c r="F37" s="1310"/>
      <c r="G37" s="1311"/>
      <c r="H37" s="1311"/>
      <c r="I37" s="1311"/>
      <c r="J37" s="1311"/>
      <c r="K37" s="1311"/>
      <c r="L37" s="1311"/>
      <c r="M37" s="1311"/>
      <c r="N37" s="1311"/>
      <c r="O37" s="1311"/>
      <c r="P37" s="1311"/>
      <c r="Q37" s="1311"/>
      <c r="R37" s="1312"/>
    </row>
    <row r="38" spans="1:18" ht="16.5" customHeight="1">
      <c r="A38" s="1346" t="s">
        <v>26</v>
      </c>
      <c r="B38" s="1347"/>
      <c r="C38" s="171" t="s">
        <v>805</v>
      </c>
      <c r="D38" s="4"/>
      <c r="E38" s="2"/>
      <c r="F38" s="1310" t="s">
        <v>246</v>
      </c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2"/>
    </row>
    <row r="39" spans="1:18" ht="16.5" customHeight="1">
      <c r="A39" s="1346" t="s">
        <v>27</v>
      </c>
      <c r="B39" s="1347"/>
      <c r="C39" s="1356" t="s">
        <v>806</v>
      </c>
      <c r="D39" s="4"/>
      <c r="E39" s="2"/>
      <c r="F39" s="183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4"/>
    </row>
    <row r="40" spans="1:18" ht="16.5" customHeight="1">
      <c r="A40" s="1346" t="s">
        <v>8</v>
      </c>
      <c r="B40" s="1347"/>
      <c r="C40" s="1357"/>
      <c r="D40" s="4"/>
      <c r="E40" s="2"/>
      <c r="F40" s="1299" t="s">
        <v>73</v>
      </c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1"/>
    </row>
    <row r="41" spans="1:18" ht="16.5" customHeight="1" thickBot="1">
      <c r="A41" s="1306" t="s">
        <v>23</v>
      </c>
      <c r="B41" s="1307"/>
      <c r="C41" s="173" t="s">
        <v>807</v>
      </c>
      <c r="D41" s="4"/>
      <c r="E41" s="2"/>
      <c r="F41" s="1276"/>
      <c r="G41" s="1277"/>
      <c r="H41" s="1277"/>
      <c r="I41" s="1277"/>
      <c r="J41" s="1277"/>
      <c r="K41" s="1277"/>
      <c r="L41" s="1277"/>
      <c r="M41" s="1277"/>
      <c r="N41" s="1277"/>
      <c r="O41" s="1277"/>
      <c r="P41" s="1277"/>
      <c r="Q41" s="1277"/>
      <c r="R41" s="1278"/>
    </row>
    <row r="42" spans="4:5" ht="16.5" customHeight="1">
      <c r="D42" s="4"/>
      <c r="E42" s="4"/>
    </row>
    <row r="43" spans="4:5" ht="16.5" customHeight="1">
      <c r="D43" s="4"/>
      <c r="E43" s="4"/>
    </row>
    <row r="44" spans="4:5" ht="16.5" customHeight="1">
      <c r="D44" s="4"/>
      <c r="E44" s="4"/>
    </row>
    <row r="45" spans="1:3" ht="184.5" customHeight="1">
      <c r="A45" s="1288" t="s">
        <v>363</v>
      </c>
      <c r="B45" s="1289"/>
      <c r="C45" s="1289"/>
    </row>
    <row r="46" ht="15">
      <c r="A46" s="230"/>
    </row>
    <row r="47" ht="15">
      <c r="A47" s="230"/>
    </row>
    <row r="48" ht="15">
      <c r="A48" s="230"/>
    </row>
    <row r="49" ht="15">
      <c r="A49" s="230"/>
    </row>
    <row r="50" ht="15">
      <c r="A50" s="231"/>
    </row>
    <row r="51" ht="15">
      <c r="A51" s="230"/>
    </row>
    <row r="52" ht="15">
      <c r="A52" s="232"/>
    </row>
    <row r="53" ht="15">
      <c r="A53" s="207"/>
    </row>
    <row r="54" ht="15">
      <c r="A54" s="208"/>
    </row>
  </sheetData>
  <sheetProtection algorithmName="SHA-512" hashValue="PBnpXnRGCTg73QAohJV/R9QjtNVN7YbTSsl113mXVv+/VMvqR3C4xgOZsMUt3ny/I+0h1rU7pyaSWtWfjZMagw==" saltValue="eT2tEufahAE3vOSVS+mIrw==" spinCount="100000" sheet="1" scenarios="1"/>
  <mergeCells count="63">
    <mergeCell ref="A1:C1"/>
    <mergeCell ref="A31:C31"/>
    <mergeCell ref="A39:B39"/>
    <mergeCell ref="A36:B36"/>
    <mergeCell ref="A37:B37"/>
    <mergeCell ref="A32:B33"/>
    <mergeCell ref="C39:C40"/>
    <mergeCell ref="A2:C18"/>
    <mergeCell ref="A20:B20"/>
    <mergeCell ref="A35:B35"/>
    <mergeCell ref="A40:B40"/>
    <mergeCell ref="A34:B34"/>
    <mergeCell ref="A38:B38"/>
    <mergeCell ref="F1:R1"/>
    <mergeCell ref="F4:H6"/>
    <mergeCell ref="F3:H3"/>
    <mergeCell ref="F2:H2"/>
    <mergeCell ref="I4:L4"/>
    <mergeCell ref="I5:L5"/>
    <mergeCell ref="I6:L6"/>
    <mergeCell ref="M4:R4"/>
    <mergeCell ref="M5:R5"/>
    <mergeCell ref="M6:R6"/>
    <mergeCell ref="J3:P3"/>
    <mergeCell ref="I2:M2"/>
    <mergeCell ref="N2:R2"/>
    <mergeCell ref="T10:Z13"/>
    <mergeCell ref="T1:BB1"/>
    <mergeCell ref="F32:R34"/>
    <mergeCell ref="F37:R37"/>
    <mergeCell ref="F38:R38"/>
    <mergeCell ref="F36:R36"/>
    <mergeCell ref="F23:R23"/>
    <mergeCell ref="F24:H24"/>
    <mergeCell ref="F25:H25"/>
    <mergeCell ref="J25:P25"/>
    <mergeCell ref="F26:H28"/>
    <mergeCell ref="I26:L26"/>
    <mergeCell ref="M26:R26"/>
    <mergeCell ref="I27:L27"/>
    <mergeCell ref="M27:R27"/>
    <mergeCell ref="F29:H29"/>
    <mergeCell ref="A45:C45"/>
    <mergeCell ref="A23:C30"/>
    <mergeCell ref="F40:R41"/>
    <mergeCell ref="I29:M29"/>
    <mergeCell ref="N29:R29"/>
    <mergeCell ref="F30:R30"/>
    <mergeCell ref="I28:L28"/>
    <mergeCell ref="M28:R28"/>
    <mergeCell ref="A41:B41"/>
    <mergeCell ref="E29:E32"/>
    <mergeCell ref="F35:R35"/>
    <mergeCell ref="I24:M24"/>
    <mergeCell ref="N24:R24"/>
    <mergeCell ref="J10:M15"/>
    <mergeCell ref="L17:N17"/>
    <mergeCell ref="L18:N18"/>
    <mergeCell ref="F20:R20"/>
    <mergeCell ref="N7:R7"/>
    <mergeCell ref="F7:H7"/>
    <mergeCell ref="I7:M7"/>
    <mergeCell ref="F8:R8"/>
  </mergeCells>
  <conditionalFormatting sqref="M26:R28 M4:R6">
    <cfRule type="expression" priority="2" dxfId="3">
      <formula>지망학과_오류검증=FALSE</formula>
    </cfRule>
  </conditionalFormatting>
  <conditionalFormatting sqref="M27:R28 M5:R6">
    <cfRule type="expression" priority="1" dxfId="2">
      <formula>OR(M5="지망(희망) 안함",M5="")</formula>
    </cfRule>
  </conditionalFormatting>
  <printOptions horizontalCentered="1"/>
  <pageMargins left="0.1968503937007874" right="0.1968503937007874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23"/>
  <sheetViews>
    <sheetView showGridLines="0" view="pageBreakPreview" zoomScale="115" zoomScaleSheetLayoutView="115" workbookViewId="0" topLeftCell="A1">
      <selection activeCell="Q9" sqref="Q9"/>
    </sheetView>
  </sheetViews>
  <sheetFormatPr defaultColWidth="9.140625" defaultRowHeight="15"/>
  <cols>
    <col min="1" max="1" width="2.8515625" style="41" customWidth="1"/>
    <col min="2" max="2" width="15.57421875" style="41" customWidth="1"/>
    <col min="3" max="3" width="10.57421875" style="41" customWidth="1"/>
    <col min="4" max="4" width="13.57421875" style="41" customWidth="1"/>
    <col min="5" max="5" width="9.57421875" style="41" customWidth="1"/>
    <col min="6" max="6" width="9.00390625" style="41" customWidth="1"/>
    <col min="7" max="7" width="23.57421875" style="41" customWidth="1"/>
    <col min="8" max="8" width="4.140625" style="41" customWidth="1"/>
    <col min="9" max="9" width="12.00390625" style="41" hidden="1" customWidth="1"/>
    <col min="10" max="15" width="9.00390625" style="41" hidden="1" customWidth="1"/>
    <col min="16" max="16" width="11.57421875" style="41" bestFit="1" customWidth="1"/>
    <col min="17" max="16384" width="9.00390625" style="41" customWidth="1"/>
  </cols>
  <sheetData>
    <row r="1" spans="2:7" ht="30" customHeight="1" thickBot="1">
      <c r="B1" s="38" t="s">
        <v>87</v>
      </c>
      <c r="C1" s="39"/>
      <c r="D1" s="39"/>
      <c r="E1" s="39"/>
      <c r="F1" s="39"/>
      <c r="G1" s="40"/>
    </row>
    <row r="2" ht="30" customHeight="1">
      <c r="G2" s="378" t="str">
        <f>Version</f>
        <v>Ver: 2019.09.16.</v>
      </c>
    </row>
    <row r="3" spans="2:5" ht="30" customHeight="1">
      <c r="B3" s="258" t="s">
        <v>555</v>
      </c>
      <c r="C3" s="47"/>
      <c r="D3" s="47"/>
      <c r="E3" s="47"/>
    </row>
    <row r="4" spans="2:7" ht="30" customHeight="1">
      <c r="B4" s="1366" t="s">
        <v>395</v>
      </c>
      <c r="C4" s="1366"/>
      <c r="D4" s="1366"/>
      <c r="E4" s="1366"/>
      <c r="F4" s="1366"/>
      <c r="G4" s="1366"/>
    </row>
    <row r="5" ht="30" customHeight="1" thickBot="1"/>
    <row r="6" spans="2:16" ht="39.95" customHeight="1">
      <c r="B6" s="1369" t="s">
        <v>9</v>
      </c>
      <c r="C6" s="42" t="s">
        <v>84</v>
      </c>
      <c r="D6" s="48">
        <f>IF(전형구분선택="특별전형",학생성명,"")</f>
        <v>0</v>
      </c>
      <c r="E6" s="1372" t="s">
        <v>249</v>
      </c>
      <c r="F6" s="42" t="s">
        <v>84</v>
      </c>
      <c r="G6" s="180">
        <f>IF(전형구분선택="특별전형",학생생년월일,"")</f>
        <v>0</v>
      </c>
      <c r="P6" s="510"/>
    </row>
    <row r="7" spans="2:19" ht="30" customHeight="1">
      <c r="B7" s="1370"/>
      <c r="C7" s="1388" t="s">
        <v>93</v>
      </c>
      <c r="D7" s="1386" t="str">
        <f>IF(전형구분선택="특별전형",보호자성명&amp;"("&amp;보호자관계&amp;")","")</f>
        <v>()</v>
      </c>
      <c r="E7" s="1373"/>
      <c r="F7" s="1384" t="s">
        <v>93</v>
      </c>
      <c r="G7" s="511">
        <f>IF(AND(전형구분선택="특별전형",보호자생년월일&gt;=DATE(학년도-100,1,1)),보호자생년월일,IF(전형구분선택="특별전형","보호자 생년월일을 입력함.",""))</f>
        <v>29221</v>
      </c>
      <c r="H7" s="507"/>
      <c r="I7" s="508"/>
      <c r="J7" s="508"/>
      <c r="K7" s="508"/>
      <c r="L7" s="508"/>
      <c r="M7" s="508"/>
      <c r="N7" s="508"/>
      <c r="O7" s="508"/>
      <c r="P7" s="509"/>
      <c r="Q7" s="508"/>
      <c r="R7" s="508"/>
      <c r="S7" s="508"/>
    </row>
    <row r="8" spans="2:19" ht="30" customHeight="1" thickBot="1">
      <c r="B8" s="1371"/>
      <c r="C8" s="1389"/>
      <c r="D8" s="1387"/>
      <c r="E8" s="1374"/>
      <c r="F8" s="1385"/>
      <c r="G8" s="495"/>
      <c r="H8" s="505" t="s">
        <v>696</v>
      </c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</row>
    <row r="9" spans="2:7" ht="30" customHeight="1">
      <c r="B9" s="46" t="s">
        <v>10</v>
      </c>
      <c r="C9" s="1375" t="str">
        <f>IF(전형구분선택="특별전형",IF(학생우편번호="",학생광역시도&amp;" "&amp;학생시군구&amp;" "&amp;학생읍면동&amp;" "&amp;학생상세주소,"(우편번호: "&amp;학생우편번호&amp;")  "&amp;학생광역시도&amp;" "&amp;학생시군구&amp;" "&amp;학생읍면동&amp;" "&amp;학생상세주소),"")</f>
        <v xml:space="preserve">   </v>
      </c>
      <c r="D9" s="1376"/>
      <c r="E9" s="1376"/>
      <c r="F9" s="1376"/>
      <c r="G9" s="1377"/>
    </row>
    <row r="10" spans="2:15" ht="30" customHeight="1">
      <c r="B10" s="43" t="s">
        <v>85</v>
      </c>
      <c r="C10" s="1378" t="str">
        <f>IF(전형구분선택="특별전형",IF(학력선택번호=1,J10,IF(학력선택번호=2,J11,IF(학력선택번호=3,J12,""))),"")</f>
        <v>학교    1900년 01월 00일 졸업예정</v>
      </c>
      <c r="D10" s="1379"/>
      <c r="E10" s="1379"/>
      <c r="F10" s="1379"/>
      <c r="G10" s="1380"/>
      <c r="I10" s="181" t="str">
        <f>IF(학력선택번호=1,"졸업예정","")</f>
        <v>졸업예정</v>
      </c>
      <c r="J10" s="1367" t="str">
        <f>IF(학력선택번호=1,출신학교명&amp;"학교    "&amp;TEXT(학력취득일,"yyyy년 mm월 dd일")&amp;" 졸업예정","")</f>
        <v>학교    1900년 01월 00일 졸업예정</v>
      </c>
      <c r="K10" s="1367"/>
      <c r="L10" s="1367"/>
      <c r="M10" s="1367"/>
      <c r="N10" s="1367"/>
      <c r="O10" s="1367"/>
    </row>
    <row r="11" spans="2:15" ht="30" customHeight="1" thickBot="1">
      <c r="B11" s="44" t="s">
        <v>86</v>
      </c>
      <c r="C11" s="1381" t="str">
        <f>IF(전형구분선택="특별전형",특별전형유형선택&amp;" ( "&amp;특별전형구분선택&amp;" ) ","")</f>
        <v xml:space="preserve"> (  ) </v>
      </c>
      <c r="D11" s="1382"/>
      <c r="E11" s="1382"/>
      <c r="F11" s="1382"/>
      <c r="G11" s="1383"/>
      <c r="I11" s="181" t="str">
        <f>IF(학력선택번호=2,"졸업","")</f>
        <v/>
      </c>
      <c r="J11" s="1367" t="str">
        <f>IF(학력선택번호=2,출신학교명&amp;"학교    "&amp;TEXT(학력취득일,"yyyy년 mm월 dd일")&amp;" 졸업","")</f>
        <v/>
      </c>
      <c r="K11" s="1367"/>
      <c r="L11" s="1367"/>
      <c r="M11" s="1367"/>
      <c r="N11" s="1367"/>
      <c r="O11" s="1367"/>
    </row>
    <row r="12" spans="9:15" ht="20.1" customHeight="1">
      <c r="I12" s="181" t="str">
        <f>IF(학력선택번호=3,"검정고시","")</f>
        <v/>
      </c>
      <c r="J12" s="1367" t="str">
        <f>IF(학력선택번호=3,검정고시_응시교육청&amp;"교육청    "&amp;검정고시합격년도&amp;"년  검정고시합격","")</f>
        <v/>
      </c>
      <c r="K12" s="1367"/>
      <c r="L12" s="1367"/>
      <c r="M12" s="1367"/>
      <c r="N12" s="1367"/>
      <c r="O12" s="1367"/>
    </row>
    <row r="13" ht="20.1" customHeight="1"/>
    <row r="14" spans="2:7" s="45" customFormat="1" ht="30" customHeight="1">
      <c r="B14" s="1368" t="s">
        <v>92</v>
      </c>
      <c r="C14" s="1368"/>
      <c r="D14" s="1368"/>
      <c r="E14" s="1368"/>
      <c r="F14" s="1368"/>
      <c r="G14" s="1368"/>
    </row>
    <row r="15" spans="2:7" s="45" customFormat="1" ht="30" customHeight="1">
      <c r="B15" s="1368" t="s">
        <v>90</v>
      </c>
      <c r="C15" s="1368"/>
      <c r="D15" s="1368"/>
      <c r="E15" s="1368"/>
      <c r="F15" s="1368"/>
      <c r="G15" s="1368"/>
    </row>
    <row r="16" spans="2:7" s="45" customFormat="1" ht="30" customHeight="1">
      <c r="B16" s="1368" t="s">
        <v>91</v>
      </c>
      <c r="C16" s="1368"/>
      <c r="D16" s="1368"/>
      <c r="E16" s="1368"/>
      <c r="F16" s="1368"/>
      <c r="G16" s="1368"/>
    </row>
    <row r="17" ht="30" customHeight="1"/>
    <row r="18" spans="2:7" ht="30" customHeight="1">
      <c r="B18" s="1390" t="str">
        <f>IF(전형구분선택="특별전형",TEXT(원서작성일자,"yyyy 년     mm 월     dd 일"),"")</f>
        <v>1900 년     01 월     00 일</v>
      </c>
      <c r="C18" s="1390"/>
      <c r="D18" s="1390"/>
      <c r="E18" s="1390"/>
      <c r="F18" s="1390"/>
      <c r="G18" s="1390"/>
    </row>
    <row r="19" ht="30" customHeight="1">
      <c r="B19" s="41" t="s">
        <v>88</v>
      </c>
    </row>
    <row r="20" spans="2:8" ht="30" customHeight="1">
      <c r="B20" s="1391" t="str">
        <f>IF(전형구분선택="특별전형","지원학생 성명 :    "&amp;학생성명&amp;"       (서 명)","")</f>
        <v>지원학생 성명 :           (서 명)</v>
      </c>
      <c r="C20" s="1391"/>
      <c r="D20" s="1391"/>
      <c r="E20" s="1391"/>
      <c r="F20" s="1391"/>
      <c r="G20" s="1391"/>
      <c r="H20" s="221" t="s">
        <v>355</v>
      </c>
    </row>
    <row r="21" spans="2:8" ht="30" customHeight="1">
      <c r="B21" s="1391" t="str">
        <f>IF(전형구분선택="특별전형","보 호 자 성명 :    "&amp;보호자성명&amp;" (지원자의 "&amp;보호자관계&amp;")       (서 명)","")</f>
        <v>보 호 자 성명 :     (지원자의 )       (서 명)</v>
      </c>
      <c r="C21" s="1391"/>
      <c r="D21" s="1391"/>
      <c r="E21" s="1391"/>
      <c r="F21" s="1391"/>
      <c r="G21" s="1391"/>
      <c r="H21" s="221" t="s">
        <v>355</v>
      </c>
    </row>
    <row r="22" ht="30" customHeight="1"/>
    <row r="23" spans="2:7" ht="30" customHeight="1">
      <c r="B23" s="1392" t="s">
        <v>89</v>
      </c>
      <c r="C23" s="1392"/>
      <c r="D23" s="1392"/>
      <c r="E23" s="1392"/>
      <c r="F23" s="1392"/>
      <c r="G23" s="1392"/>
    </row>
  </sheetData>
  <sheetProtection algorithmName="SHA-512" hashValue="macLe92osLng0zfIH/XSqR6DHTlyAkeWMg4D0Ec2ssHzTGa28dihykUHFib108XgC1COpYRkBUPaMDD7SogmPg==" saltValue="bWgWxl39Wj7grnGMvKoWiA==" spinCount="100000" sheet="1" objects="1" scenarios="1"/>
  <mergeCells count="19">
    <mergeCell ref="B18:G18"/>
    <mergeCell ref="B20:G20"/>
    <mergeCell ref="B21:G21"/>
    <mergeCell ref="B23:G23"/>
    <mergeCell ref="B16:G16"/>
    <mergeCell ref="B4:G4"/>
    <mergeCell ref="J10:O10"/>
    <mergeCell ref="J11:O11"/>
    <mergeCell ref="J12:O12"/>
    <mergeCell ref="B15:G15"/>
    <mergeCell ref="B6:B8"/>
    <mergeCell ref="E6:E8"/>
    <mergeCell ref="C9:G9"/>
    <mergeCell ref="C10:G10"/>
    <mergeCell ref="C11:G11"/>
    <mergeCell ref="B14:G14"/>
    <mergeCell ref="F7:F8"/>
    <mergeCell ref="D7:D8"/>
    <mergeCell ref="C7:C8"/>
  </mergeCells>
  <conditionalFormatting sqref="G8">
    <cfRule type="expression" priority="2" dxfId="0" stopIfTrue="1">
      <formula>OR(전형구분선택&lt;&gt;"특별전형1",보호자생년월일&gt;=DATE(학년도-100,1,1))</formula>
    </cfRule>
  </conditionalFormatting>
  <conditionalFormatting sqref="G7">
    <cfRule type="expression" priority="1" dxfId="0" stopIfTrue="1">
      <formula>OR(전형구분선택&lt;&gt;"특별전형1",보호자생년월일&gt;=DATE(학년도-100,1,1))</formula>
    </cfRule>
  </conditionalFormatting>
  <dataValidations count="1" disablePrompts="1">
    <dataValidation type="date" allowBlank="1" showInputMessage="1" showErrorMessage="1" error="날짜형식으로 보호자 생년월일을 입력합니다._x000a_예시)  65/10/1_x000a_         1965-10-1" sqref="G8">
      <formula1>3654</formula1>
      <formula2>TODAY()</formula2>
    </dataValidation>
  </dataValidations>
  <printOptions horizontalCentered="1"/>
  <pageMargins left="0.5905511811023623" right="0.5905511811023623" top="1.1811023622047245" bottom="0.5511811023622047" header="0.31496062992125984" footer="0.31496062992125984"/>
  <pageSetup fitToHeight="1" fitToWidth="1"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workbookViewId="0" topLeftCell="A1">
      <selection activeCell="AE18" sqref="AE18"/>
    </sheetView>
  </sheetViews>
  <sheetFormatPr defaultColWidth="9.140625" defaultRowHeight="15"/>
  <cols>
    <col min="1" max="1" width="4.8515625" style="0" customWidth="1"/>
    <col min="2" max="2" width="20.57421875" style="0" bestFit="1" customWidth="1"/>
    <col min="3" max="3" width="4.57421875" style="0" customWidth="1"/>
    <col min="8" max="8" width="4.57421875" style="0" customWidth="1"/>
    <col min="9" max="9" width="15.140625" style="0" bestFit="1" customWidth="1"/>
    <col min="10" max="10" width="4.57421875" style="0" customWidth="1"/>
    <col min="11" max="11" width="2.421875" style="0" customWidth="1"/>
    <col min="12" max="12" width="15.140625" style="0" bestFit="1" customWidth="1"/>
    <col min="13" max="13" width="32.28125" style="0" customWidth="1"/>
    <col min="14" max="14" width="9.00390625" style="0" bestFit="1" customWidth="1"/>
    <col min="15" max="15" width="5.57421875" style="0" customWidth="1"/>
    <col min="16" max="16" width="9.7109375" style="0" bestFit="1" customWidth="1"/>
    <col min="17" max="17" width="7.421875" style="0" customWidth="1"/>
    <col min="18" max="26" width="7.421875" style="0" bestFit="1" customWidth="1"/>
    <col min="27" max="27" width="2.57421875" style="0" customWidth="1"/>
    <col min="28" max="28" width="5.28125" style="14" bestFit="1" customWidth="1"/>
    <col min="29" max="29" width="19.421875" style="0" customWidth="1"/>
    <col min="30" max="30" width="5.28125" style="0" customWidth="1"/>
    <col min="31" max="31" width="4.00390625" style="0" customWidth="1"/>
  </cols>
  <sheetData>
    <row r="1" spans="1:28" ht="19.5" customHeight="1">
      <c r="A1" s="1402" t="s">
        <v>118</v>
      </c>
      <c r="B1" s="1402"/>
      <c r="D1" s="1399" t="s">
        <v>53</v>
      </c>
      <c r="E1" s="1399"/>
      <c r="F1" s="1399"/>
      <c r="G1" s="1399"/>
      <c r="I1" s="1400" t="s">
        <v>119</v>
      </c>
      <c r="K1" s="1394" t="s">
        <v>147</v>
      </c>
      <c r="L1" s="1395"/>
      <c r="M1" s="1395"/>
      <c r="N1" s="1395"/>
      <c r="P1" s="557" t="s">
        <v>112</v>
      </c>
      <c r="Q1" s="557"/>
      <c r="R1" s="557"/>
      <c r="S1" s="557"/>
      <c r="T1" s="557"/>
      <c r="U1" s="557"/>
      <c r="V1" s="557"/>
      <c r="W1" s="557"/>
      <c r="X1" s="557"/>
      <c r="Y1" s="557"/>
      <c r="Z1" s="557"/>
      <c r="AB1" s="105" t="s">
        <v>507</v>
      </c>
    </row>
    <row r="2" spans="1:29" ht="15">
      <c r="A2" s="15">
        <v>1</v>
      </c>
      <c r="B2" s="61" t="s">
        <v>29</v>
      </c>
      <c r="D2" s="1399"/>
      <c r="E2" s="1399"/>
      <c r="F2" s="1399"/>
      <c r="G2" s="1399"/>
      <c r="I2" s="1401"/>
      <c r="K2" s="90"/>
      <c r="L2" s="63" t="s">
        <v>145</v>
      </c>
      <c r="M2" s="63" t="s">
        <v>146</v>
      </c>
      <c r="N2" s="229" t="s">
        <v>360</v>
      </c>
      <c r="P2" s="277" t="s">
        <v>113</v>
      </c>
      <c r="Q2" s="277">
        <v>2019</v>
      </c>
      <c r="R2" s="383">
        <v>2018</v>
      </c>
      <c r="S2" s="277">
        <v>2017</v>
      </c>
      <c r="T2" s="277">
        <v>2016</v>
      </c>
      <c r="U2" s="277">
        <v>2015</v>
      </c>
      <c r="V2" s="277">
        <v>2014</v>
      </c>
      <c r="W2" s="277">
        <v>2013</v>
      </c>
      <c r="X2" s="277">
        <v>2012</v>
      </c>
      <c r="Y2" s="277">
        <v>2011</v>
      </c>
      <c r="Z2" s="277">
        <v>2010</v>
      </c>
      <c r="AB2" s="102" t="s">
        <v>154</v>
      </c>
      <c r="AC2" s="102" t="s">
        <v>153</v>
      </c>
    </row>
    <row r="3" spans="1:30" ht="15">
      <c r="A3" s="15">
        <v>2</v>
      </c>
      <c r="B3" s="61" t="s">
        <v>254</v>
      </c>
      <c r="D3" s="1403" t="s">
        <v>51</v>
      </c>
      <c r="E3" s="1403"/>
      <c r="F3" s="1404" t="s">
        <v>52</v>
      </c>
      <c r="G3" s="1404"/>
      <c r="I3" s="27" t="s">
        <v>55</v>
      </c>
      <c r="K3" s="26">
        <v>1</v>
      </c>
      <c r="L3" s="26" t="s">
        <v>39</v>
      </c>
      <c r="M3" s="27" t="s">
        <v>299</v>
      </c>
      <c r="N3" s="27"/>
      <c r="P3" s="24">
        <v>100</v>
      </c>
      <c r="Q3" s="645">
        <v>1.18</v>
      </c>
      <c r="R3" s="646">
        <v>1.36</v>
      </c>
      <c r="S3" s="647">
        <v>1.18</v>
      </c>
      <c r="T3" s="645">
        <v>1.02</v>
      </c>
      <c r="U3" s="645">
        <v>1.01</v>
      </c>
      <c r="V3" s="647">
        <v>0.83</v>
      </c>
      <c r="W3" s="645">
        <v>0.63</v>
      </c>
      <c r="X3" s="645">
        <v>0.35</v>
      </c>
      <c r="Y3" s="645">
        <v>0.29</v>
      </c>
      <c r="Z3" s="601">
        <v>0.81</v>
      </c>
      <c r="AB3" s="104">
        <v>1</v>
      </c>
      <c r="AC3" s="103" t="s">
        <v>444</v>
      </c>
      <c r="AD3" s="283"/>
    </row>
    <row r="4" spans="1:30" ht="15">
      <c r="A4" s="15">
        <v>3</v>
      </c>
      <c r="B4" s="61" t="s">
        <v>101</v>
      </c>
      <c r="D4" s="64" t="s">
        <v>99</v>
      </c>
      <c r="E4" s="64" t="s">
        <v>100</v>
      </c>
      <c r="F4" s="22" t="s">
        <v>99</v>
      </c>
      <c r="G4" s="22" t="s">
        <v>100</v>
      </c>
      <c r="I4" s="27" t="s">
        <v>56</v>
      </c>
      <c r="K4" s="26">
        <v>2</v>
      </c>
      <c r="L4" s="26" t="s">
        <v>39</v>
      </c>
      <c r="M4" s="27" t="s">
        <v>110</v>
      </c>
      <c r="N4" s="27"/>
      <c r="P4" s="24">
        <v>99</v>
      </c>
      <c r="Q4" s="645">
        <v>2.35</v>
      </c>
      <c r="R4" s="646">
        <v>2.72</v>
      </c>
      <c r="S4" s="647">
        <v>2.35</v>
      </c>
      <c r="T4" s="645">
        <v>2.54</v>
      </c>
      <c r="U4" s="645">
        <v>2.02</v>
      </c>
      <c r="V4" s="647">
        <v>2.08</v>
      </c>
      <c r="W4" s="645">
        <v>2.19</v>
      </c>
      <c r="X4" s="645">
        <v>0.7</v>
      </c>
      <c r="Y4" s="645">
        <v>0.58</v>
      </c>
      <c r="Z4" s="601">
        <v>1.61</v>
      </c>
      <c r="AB4" s="104">
        <v>2</v>
      </c>
      <c r="AC4" s="103" t="s">
        <v>445</v>
      </c>
      <c r="AD4" s="283"/>
    </row>
    <row r="5" spans="1:30" ht="15">
      <c r="A5" s="15">
        <v>4</v>
      </c>
      <c r="B5" s="61" t="s">
        <v>102</v>
      </c>
      <c r="D5" s="65">
        <v>0</v>
      </c>
      <c r="E5" s="65">
        <v>20</v>
      </c>
      <c r="F5" s="23">
        <v>0</v>
      </c>
      <c r="G5" s="23">
        <v>20</v>
      </c>
      <c r="I5" s="27" t="s">
        <v>57</v>
      </c>
      <c r="K5" s="26">
        <v>3</v>
      </c>
      <c r="L5" s="26" t="s">
        <v>40</v>
      </c>
      <c r="M5" s="27" t="s">
        <v>111</v>
      </c>
      <c r="N5" s="27"/>
      <c r="P5" s="24">
        <v>98</v>
      </c>
      <c r="Q5" s="645">
        <v>3.53</v>
      </c>
      <c r="R5" s="646">
        <v>4.08</v>
      </c>
      <c r="S5" s="647">
        <v>3.53</v>
      </c>
      <c r="T5" s="645">
        <v>3.55</v>
      </c>
      <c r="U5" s="645">
        <v>3.03</v>
      </c>
      <c r="V5" s="647">
        <v>2.92</v>
      </c>
      <c r="W5" s="645">
        <v>2.82</v>
      </c>
      <c r="X5" s="645">
        <v>1.57</v>
      </c>
      <c r="Y5" s="645">
        <v>0.87</v>
      </c>
      <c r="Z5" s="601">
        <v>3.63</v>
      </c>
      <c r="AB5" s="104">
        <v>3</v>
      </c>
      <c r="AC5" s="103" t="s">
        <v>446</v>
      </c>
      <c r="AD5" s="283"/>
    </row>
    <row r="6" spans="1:30" ht="15">
      <c r="A6" s="15"/>
      <c r="B6" s="61"/>
      <c r="D6" s="65">
        <v>30</v>
      </c>
      <c r="E6" s="554">
        <v>30</v>
      </c>
      <c r="F6" s="23">
        <v>30</v>
      </c>
      <c r="G6" s="23">
        <v>30</v>
      </c>
      <c r="I6" s="27" t="s">
        <v>58</v>
      </c>
      <c r="K6" s="26">
        <v>4</v>
      </c>
      <c r="L6" s="26" t="s">
        <v>40</v>
      </c>
      <c r="M6" s="27" t="s">
        <v>297</v>
      </c>
      <c r="N6" s="27"/>
      <c r="P6" s="24">
        <v>97</v>
      </c>
      <c r="Q6" s="645">
        <v>4.71</v>
      </c>
      <c r="R6" s="646">
        <v>5.44</v>
      </c>
      <c r="S6" s="647">
        <v>4.71</v>
      </c>
      <c r="T6" s="645">
        <v>5.58</v>
      </c>
      <c r="U6" s="645">
        <v>5.56</v>
      </c>
      <c r="V6" s="647">
        <v>3.75</v>
      </c>
      <c r="W6" s="645">
        <v>4.39</v>
      </c>
      <c r="X6" s="645">
        <v>2.62</v>
      </c>
      <c r="Y6" s="645">
        <v>1.16</v>
      </c>
      <c r="Z6" s="601">
        <v>6.05</v>
      </c>
      <c r="AB6" s="104">
        <v>4</v>
      </c>
      <c r="AC6" s="103" t="s">
        <v>447</v>
      </c>
      <c r="AD6" s="283"/>
    </row>
    <row r="7" spans="4:30" ht="15">
      <c r="D7" s="65">
        <v>33</v>
      </c>
      <c r="E7" s="554">
        <v>31</v>
      </c>
      <c r="F7" s="23">
        <v>33</v>
      </c>
      <c r="G7" s="23">
        <v>31</v>
      </c>
      <c r="I7" s="27" t="s">
        <v>59</v>
      </c>
      <c r="K7" s="26">
        <v>5</v>
      </c>
      <c r="L7" s="26" t="s">
        <v>40</v>
      </c>
      <c r="M7" s="27" t="s">
        <v>291</v>
      </c>
      <c r="N7" s="27"/>
      <c r="P7" s="24">
        <v>96</v>
      </c>
      <c r="Q7" s="645">
        <v>5.88</v>
      </c>
      <c r="R7" s="646">
        <v>6.8</v>
      </c>
      <c r="S7" s="647">
        <v>5.88</v>
      </c>
      <c r="T7" s="645">
        <v>8.12</v>
      </c>
      <c r="U7" s="645">
        <v>7.07</v>
      </c>
      <c r="V7" s="647">
        <v>5</v>
      </c>
      <c r="W7" s="645">
        <v>5.02</v>
      </c>
      <c r="X7" s="645">
        <v>3.67</v>
      </c>
      <c r="Y7" s="645">
        <v>1.59</v>
      </c>
      <c r="Z7" s="601">
        <v>6.85</v>
      </c>
      <c r="AB7" s="104">
        <v>5</v>
      </c>
      <c r="AC7" s="103" t="s">
        <v>448</v>
      </c>
      <c r="AD7" s="283"/>
    </row>
    <row r="8" spans="1:30" ht="15">
      <c r="A8" s="1396" t="s">
        <v>117</v>
      </c>
      <c r="B8" s="1397"/>
      <c r="D8" s="65">
        <v>36</v>
      </c>
      <c r="E8" s="554">
        <v>32</v>
      </c>
      <c r="F8" s="23">
        <v>36</v>
      </c>
      <c r="G8" s="23">
        <v>32</v>
      </c>
      <c r="I8" s="27" t="s">
        <v>60</v>
      </c>
      <c r="K8" s="26">
        <v>6</v>
      </c>
      <c r="L8" s="26" t="s">
        <v>40</v>
      </c>
      <c r="M8" s="27" t="s">
        <v>296</v>
      </c>
      <c r="N8" s="27"/>
      <c r="P8" s="24">
        <v>95</v>
      </c>
      <c r="Q8" s="645">
        <v>7.65</v>
      </c>
      <c r="R8" s="646">
        <v>8.16</v>
      </c>
      <c r="S8" s="647">
        <v>7.65</v>
      </c>
      <c r="T8" s="645">
        <v>10.15</v>
      </c>
      <c r="U8" s="645">
        <v>10.61</v>
      </c>
      <c r="V8" s="647">
        <v>5.83</v>
      </c>
      <c r="W8" s="645">
        <v>9.09</v>
      </c>
      <c r="X8" s="645">
        <v>4.9</v>
      </c>
      <c r="Y8" s="645">
        <v>2.17</v>
      </c>
      <c r="Z8" s="601">
        <v>8.47</v>
      </c>
      <c r="AB8" s="104">
        <v>6</v>
      </c>
      <c r="AC8" s="103" t="s">
        <v>449</v>
      </c>
      <c r="AD8" s="283"/>
    </row>
    <row r="9" spans="1:30" ht="15">
      <c r="A9" s="66">
        <v>1</v>
      </c>
      <c r="B9" s="27" t="s">
        <v>41</v>
      </c>
      <c r="D9" s="65">
        <v>39</v>
      </c>
      <c r="E9" s="554">
        <v>33</v>
      </c>
      <c r="F9" s="23">
        <v>40</v>
      </c>
      <c r="G9" s="23">
        <v>33</v>
      </c>
      <c r="I9" s="27" t="s">
        <v>61</v>
      </c>
      <c r="K9" s="26">
        <v>7</v>
      </c>
      <c r="L9" s="26" t="s">
        <v>40</v>
      </c>
      <c r="M9" s="27" t="s">
        <v>295</v>
      </c>
      <c r="N9" s="27"/>
      <c r="P9" s="24">
        <v>94</v>
      </c>
      <c r="Q9" s="645">
        <v>10</v>
      </c>
      <c r="R9" s="646">
        <v>9.52</v>
      </c>
      <c r="S9" s="647">
        <v>10</v>
      </c>
      <c r="T9" s="645">
        <v>11.17</v>
      </c>
      <c r="U9" s="645">
        <v>12.63</v>
      </c>
      <c r="V9" s="647">
        <v>8.33</v>
      </c>
      <c r="W9" s="645">
        <v>10.34</v>
      </c>
      <c r="X9" s="645">
        <v>6.64</v>
      </c>
      <c r="Y9" s="645">
        <v>3.04</v>
      </c>
      <c r="Z9" s="601">
        <v>9.27</v>
      </c>
      <c r="AB9" s="104">
        <v>7</v>
      </c>
      <c r="AC9" s="103" t="s">
        <v>450</v>
      </c>
      <c r="AD9" s="283"/>
    </row>
    <row r="10" spans="1:30" ht="15">
      <c r="A10" s="66">
        <v>2</v>
      </c>
      <c r="B10" s="27" t="s">
        <v>42</v>
      </c>
      <c r="D10" s="65">
        <v>42</v>
      </c>
      <c r="E10" s="554">
        <v>34</v>
      </c>
      <c r="F10" s="23">
        <v>44</v>
      </c>
      <c r="G10" s="23">
        <v>34</v>
      </c>
      <c r="I10" s="27" t="s">
        <v>62</v>
      </c>
      <c r="K10" s="26">
        <v>8</v>
      </c>
      <c r="L10" s="26" t="s">
        <v>40</v>
      </c>
      <c r="M10" s="205" t="s">
        <v>294</v>
      </c>
      <c r="N10" s="205"/>
      <c r="P10" s="24">
        <v>93</v>
      </c>
      <c r="Q10" s="645">
        <v>11.18</v>
      </c>
      <c r="R10" s="646">
        <v>11.56</v>
      </c>
      <c r="S10" s="647">
        <v>11.18</v>
      </c>
      <c r="T10" s="645">
        <v>13.2</v>
      </c>
      <c r="U10" s="645">
        <v>15.15</v>
      </c>
      <c r="V10" s="647">
        <v>10.83</v>
      </c>
      <c r="W10" s="645">
        <v>12.54</v>
      </c>
      <c r="X10" s="645">
        <v>8.74</v>
      </c>
      <c r="Y10" s="645">
        <v>3.91</v>
      </c>
      <c r="Z10" s="601">
        <v>11.69</v>
      </c>
      <c r="AB10" s="104">
        <v>8</v>
      </c>
      <c r="AC10" s="103" t="s">
        <v>451</v>
      </c>
      <c r="AD10" s="283"/>
    </row>
    <row r="11" spans="1:30" ht="15">
      <c r="A11" s="66">
        <v>3</v>
      </c>
      <c r="B11" s="27" t="s">
        <v>43</v>
      </c>
      <c r="D11" s="65">
        <v>45</v>
      </c>
      <c r="E11" s="554">
        <v>35</v>
      </c>
      <c r="F11" s="23">
        <v>48</v>
      </c>
      <c r="G11" s="23">
        <v>35</v>
      </c>
      <c r="I11" s="27" t="s">
        <v>63</v>
      </c>
      <c r="K11" s="26">
        <v>9</v>
      </c>
      <c r="L11" s="26"/>
      <c r="M11" s="27"/>
      <c r="N11" s="27"/>
      <c r="P11" s="24">
        <v>92</v>
      </c>
      <c r="Q11" s="645">
        <v>13.53</v>
      </c>
      <c r="R11" s="646">
        <v>12.93</v>
      </c>
      <c r="S11" s="647">
        <v>13.53</v>
      </c>
      <c r="T11" s="645">
        <v>14.72</v>
      </c>
      <c r="U11" s="645">
        <v>16.67</v>
      </c>
      <c r="V11" s="647">
        <v>12.08</v>
      </c>
      <c r="W11" s="645">
        <v>15.99</v>
      </c>
      <c r="X11" s="645">
        <v>11.01</v>
      </c>
      <c r="Y11" s="645">
        <v>5.07</v>
      </c>
      <c r="Z11" s="601">
        <v>12.9</v>
      </c>
      <c r="AB11" s="104">
        <v>9</v>
      </c>
      <c r="AC11" s="103" t="s">
        <v>452</v>
      </c>
      <c r="AD11" s="283"/>
    </row>
    <row r="12" spans="4:30" ht="17.25" customHeight="1">
      <c r="D12" s="65">
        <v>48</v>
      </c>
      <c r="E12" s="554">
        <v>36</v>
      </c>
      <c r="F12" s="23">
        <v>52</v>
      </c>
      <c r="G12" s="23">
        <v>36</v>
      </c>
      <c r="I12" s="27" t="s">
        <v>64</v>
      </c>
      <c r="P12" s="24">
        <v>91</v>
      </c>
      <c r="Q12" s="645">
        <v>14.71</v>
      </c>
      <c r="R12" s="646">
        <v>14.97</v>
      </c>
      <c r="S12" s="647">
        <v>14.71</v>
      </c>
      <c r="T12" s="645">
        <v>17.26</v>
      </c>
      <c r="U12" s="645">
        <v>18.18</v>
      </c>
      <c r="V12" s="647">
        <v>14.58</v>
      </c>
      <c r="W12" s="645">
        <v>17.55</v>
      </c>
      <c r="X12" s="645">
        <v>12.41</v>
      </c>
      <c r="Y12" s="645">
        <v>5.94</v>
      </c>
      <c r="Z12" s="601">
        <v>15.32</v>
      </c>
      <c r="AB12" s="104">
        <v>10</v>
      </c>
      <c r="AC12" s="103" t="s">
        <v>453</v>
      </c>
      <c r="AD12" s="283"/>
    </row>
    <row r="13" spans="1:30" ht="15">
      <c r="A13" s="1393" t="s">
        <v>116</v>
      </c>
      <c r="B13" s="1398"/>
      <c r="D13" s="65">
        <v>51</v>
      </c>
      <c r="E13" s="554">
        <v>37</v>
      </c>
      <c r="F13" s="23">
        <v>56</v>
      </c>
      <c r="G13" s="23">
        <v>37</v>
      </c>
      <c r="I13" s="27" t="s">
        <v>66</v>
      </c>
      <c r="P13" s="24">
        <v>90</v>
      </c>
      <c r="Q13" s="645">
        <v>16.47</v>
      </c>
      <c r="R13" s="646">
        <v>19.05</v>
      </c>
      <c r="S13" s="647">
        <v>16.47</v>
      </c>
      <c r="T13" s="645">
        <v>18.27</v>
      </c>
      <c r="U13" s="645">
        <v>21.21</v>
      </c>
      <c r="V13" s="647">
        <v>16.25</v>
      </c>
      <c r="W13" s="645">
        <v>18.81</v>
      </c>
      <c r="X13" s="645">
        <v>14.86</v>
      </c>
      <c r="Y13" s="645">
        <v>7.39</v>
      </c>
      <c r="Z13" s="601">
        <v>16.53</v>
      </c>
      <c r="AB13" s="104">
        <v>11</v>
      </c>
      <c r="AC13" s="103" t="s">
        <v>454</v>
      </c>
      <c r="AD13" s="283"/>
    </row>
    <row r="14" spans="1:30" ht="15">
      <c r="A14" s="15">
        <v>1</v>
      </c>
      <c r="B14" s="62" t="s">
        <v>44</v>
      </c>
      <c r="D14" s="65">
        <v>54</v>
      </c>
      <c r="E14" s="554">
        <v>38</v>
      </c>
      <c r="F14" s="23">
        <v>60</v>
      </c>
      <c r="G14" s="23">
        <v>38</v>
      </c>
      <c r="I14" s="27" t="s">
        <v>67</v>
      </c>
      <c r="P14" s="24">
        <v>89</v>
      </c>
      <c r="Q14" s="645">
        <v>20</v>
      </c>
      <c r="R14" s="646">
        <v>23.13</v>
      </c>
      <c r="S14" s="647">
        <v>20</v>
      </c>
      <c r="T14" s="645">
        <v>21.32</v>
      </c>
      <c r="U14" s="645">
        <v>22.22</v>
      </c>
      <c r="V14" s="647">
        <v>19.58</v>
      </c>
      <c r="W14" s="645">
        <v>20.38</v>
      </c>
      <c r="X14" s="645">
        <v>16.08</v>
      </c>
      <c r="Y14" s="645">
        <v>7.97</v>
      </c>
      <c r="Z14" s="601">
        <v>18.15</v>
      </c>
      <c r="AB14" s="104">
        <v>12</v>
      </c>
      <c r="AC14" s="103" t="s">
        <v>455</v>
      </c>
      <c r="AD14" s="283"/>
    </row>
    <row r="15" spans="1:30" ht="15">
      <c r="A15" s="15">
        <v>2</v>
      </c>
      <c r="B15" s="62" t="s">
        <v>45</v>
      </c>
      <c r="D15" s="554">
        <v>57</v>
      </c>
      <c r="E15" s="554">
        <v>39</v>
      </c>
      <c r="F15" s="555">
        <v>64</v>
      </c>
      <c r="G15" s="555">
        <v>39</v>
      </c>
      <c r="I15" s="27" t="s">
        <v>68</v>
      </c>
      <c r="P15" s="24">
        <v>88</v>
      </c>
      <c r="Q15" s="645">
        <v>22.94</v>
      </c>
      <c r="R15" s="646">
        <v>25.17</v>
      </c>
      <c r="S15" s="647">
        <v>22.94</v>
      </c>
      <c r="T15" s="645">
        <v>22.84</v>
      </c>
      <c r="U15" s="645">
        <v>25.76</v>
      </c>
      <c r="V15" s="647">
        <v>21.25</v>
      </c>
      <c r="W15" s="645">
        <v>24.14</v>
      </c>
      <c r="X15" s="645">
        <v>17.66</v>
      </c>
      <c r="Y15" s="645">
        <v>9.13</v>
      </c>
      <c r="Z15" s="601">
        <v>19.35</v>
      </c>
      <c r="AB15" s="104">
        <v>13</v>
      </c>
      <c r="AC15" s="103" t="s">
        <v>456</v>
      </c>
      <c r="AD15" s="283"/>
    </row>
    <row r="16" spans="1:30" ht="15">
      <c r="A16" s="15">
        <v>3</v>
      </c>
      <c r="B16" s="62" t="s">
        <v>46</v>
      </c>
      <c r="D16" s="65">
        <v>60</v>
      </c>
      <c r="E16" s="65">
        <v>40</v>
      </c>
      <c r="F16" s="23">
        <v>68</v>
      </c>
      <c r="G16" s="23">
        <v>40</v>
      </c>
      <c r="I16" s="27" t="s">
        <v>69</v>
      </c>
      <c r="P16" s="24">
        <v>87</v>
      </c>
      <c r="Q16" s="645">
        <v>24.71</v>
      </c>
      <c r="R16" s="646">
        <v>27.21</v>
      </c>
      <c r="S16" s="647">
        <v>24.71</v>
      </c>
      <c r="T16" s="645">
        <v>25.89</v>
      </c>
      <c r="U16" s="645">
        <v>27.27</v>
      </c>
      <c r="V16" s="647">
        <v>23.75</v>
      </c>
      <c r="W16" s="645">
        <v>27.59</v>
      </c>
      <c r="X16" s="645">
        <v>20.8</v>
      </c>
      <c r="Y16" s="645">
        <v>10.58</v>
      </c>
      <c r="Z16" s="601">
        <v>21.77</v>
      </c>
      <c r="AB16" s="104">
        <v>14</v>
      </c>
      <c r="AC16" s="103" t="s">
        <v>458</v>
      </c>
      <c r="AD16" s="283"/>
    </row>
    <row r="17" spans="1:30" ht="15">
      <c r="A17" s="15">
        <v>4</v>
      </c>
      <c r="B17" s="280" t="s">
        <v>515</v>
      </c>
      <c r="I17" s="27" t="s">
        <v>70</v>
      </c>
      <c r="P17" s="24">
        <v>86</v>
      </c>
      <c r="Q17" s="645">
        <v>27.06</v>
      </c>
      <c r="R17" s="646">
        <v>28.57</v>
      </c>
      <c r="S17" s="647">
        <v>27.06</v>
      </c>
      <c r="T17" s="645">
        <v>27.92</v>
      </c>
      <c r="U17" s="645">
        <v>29.8</v>
      </c>
      <c r="V17" s="647">
        <v>25.42</v>
      </c>
      <c r="W17" s="645">
        <v>29.78</v>
      </c>
      <c r="X17" s="645">
        <v>22.55</v>
      </c>
      <c r="Y17" s="645">
        <v>11.74</v>
      </c>
      <c r="Z17" s="601">
        <v>22.58</v>
      </c>
      <c r="AB17" s="104">
        <v>15</v>
      </c>
      <c r="AC17" s="103" t="s">
        <v>459</v>
      </c>
      <c r="AD17" s="283"/>
    </row>
    <row r="18" spans="9:30" ht="15">
      <c r="I18" s="27" t="s">
        <v>71</v>
      </c>
      <c r="P18" s="24">
        <v>85</v>
      </c>
      <c r="Q18" s="645">
        <v>28.82</v>
      </c>
      <c r="R18" s="646">
        <v>32.65</v>
      </c>
      <c r="S18" s="647">
        <v>28.82</v>
      </c>
      <c r="T18" s="645">
        <v>30.46</v>
      </c>
      <c r="U18" s="645">
        <v>30.81</v>
      </c>
      <c r="V18" s="647">
        <v>27.08</v>
      </c>
      <c r="W18" s="645">
        <v>32.92</v>
      </c>
      <c r="X18" s="645">
        <v>25.17</v>
      </c>
      <c r="Y18" s="645">
        <v>13.77</v>
      </c>
      <c r="Z18" s="601">
        <v>25</v>
      </c>
      <c r="AB18" s="104">
        <v>16</v>
      </c>
      <c r="AC18" s="103" t="s">
        <v>460</v>
      </c>
      <c r="AD18" s="283"/>
    </row>
    <row r="19" spans="9:30" ht="15">
      <c r="I19" s="27" t="s">
        <v>65</v>
      </c>
      <c r="P19" s="24">
        <v>84</v>
      </c>
      <c r="Q19" s="645">
        <v>31.76</v>
      </c>
      <c r="R19" s="646">
        <v>34.69</v>
      </c>
      <c r="S19" s="647">
        <v>31.76</v>
      </c>
      <c r="T19" s="645">
        <v>34.52</v>
      </c>
      <c r="U19" s="645">
        <v>32.32</v>
      </c>
      <c r="V19" s="647">
        <v>30</v>
      </c>
      <c r="W19" s="645">
        <v>34.17</v>
      </c>
      <c r="X19" s="645">
        <v>28.32</v>
      </c>
      <c r="Y19" s="645">
        <v>14.64</v>
      </c>
      <c r="Z19" s="601">
        <v>25.81</v>
      </c>
      <c r="AB19" s="104">
        <v>17</v>
      </c>
      <c r="AC19" s="103" t="s">
        <v>461</v>
      </c>
      <c r="AD19" s="283"/>
    </row>
    <row r="20" spans="16:30" ht="15">
      <c r="P20" s="24">
        <v>83</v>
      </c>
      <c r="Q20" s="645">
        <v>33.53</v>
      </c>
      <c r="R20" s="646">
        <v>36.05</v>
      </c>
      <c r="S20" s="647">
        <v>33.53</v>
      </c>
      <c r="T20" s="645">
        <v>36.55</v>
      </c>
      <c r="U20" s="645">
        <v>35.35</v>
      </c>
      <c r="V20" s="647">
        <v>32.5</v>
      </c>
      <c r="W20" s="645">
        <v>36.68</v>
      </c>
      <c r="X20" s="645">
        <v>29.9</v>
      </c>
      <c r="Y20" s="645">
        <v>15.94</v>
      </c>
      <c r="Z20" s="601">
        <v>27.82</v>
      </c>
      <c r="AB20" s="104">
        <v>18</v>
      </c>
      <c r="AC20" s="103" t="s">
        <v>462</v>
      </c>
      <c r="AD20" s="283"/>
    </row>
    <row r="21" spans="16:30" ht="15">
      <c r="P21" s="24">
        <v>82</v>
      </c>
      <c r="Q21" s="645">
        <v>36.47</v>
      </c>
      <c r="R21" s="646">
        <v>38.1</v>
      </c>
      <c r="S21" s="647">
        <v>36.47</v>
      </c>
      <c r="T21" s="645">
        <v>39.59</v>
      </c>
      <c r="U21" s="645">
        <v>38.38</v>
      </c>
      <c r="V21" s="647">
        <v>35.42</v>
      </c>
      <c r="W21" s="645">
        <v>40.13</v>
      </c>
      <c r="X21" s="645">
        <v>31.82</v>
      </c>
      <c r="Y21" s="645">
        <v>17.68</v>
      </c>
      <c r="Z21" s="601">
        <v>30.65</v>
      </c>
      <c r="AB21" s="104">
        <v>19</v>
      </c>
      <c r="AC21" s="103" t="s">
        <v>463</v>
      </c>
      <c r="AD21" s="283"/>
    </row>
    <row r="22" spans="4:30" ht="15">
      <c r="D22" s="1393" t="s">
        <v>166</v>
      </c>
      <c r="E22" s="1393"/>
      <c r="F22" s="1393"/>
      <c r="P22" s="24">
        <v>81</v>
      </c>
      <c r="Q22" s="645">
        <v>38.82</v>
      </c>
      <c r="R22" s="646">
        <v>39.46</v>
      </c>
      <c r="S22" s="647">
        <v>38.82</v>
      </c>
      <c r="T22" s="645">
        <v>41.12</v>
      </c>
      <c r="U22" s="645">
        <v>40.91</v>
      </c>
      <c r="V22" s="647">
        <v>36.67</v>
      </c>
      <c r="W22" s="645">
        <v>42.01</v>
      </c>
      <c r="X22" s="645">
        <v>34.97</v>
      </c>
      <c r="Y22" s="645">
        <v>19.13</v>
      </c>
      <c r="Z22" s="601">
        <v>32.66</v>
      </c>
      <c r="AB22" s="104">
        <v>20</v>
      </c>
      <c r="AC22" s="103" t="s">
        <v>464</v>
      </c>
      <c r="AD22" s="283"/>
    </row>
    <row r="23" spans="4:30" ht="15">
      <c r="D23" s="66">
        <v>1</v>
      </c>
      <c r="E23" s="110" t="s">
        <v>165</v>
      </c>
      <c r="F23" s="15">
        <v>5</v>
      </c>
      <c r="G23" s="110" t="s">
        <v>165</v>
      </c>
      <c r="P23" s="24">
        <v>80</v>
      </c>
      <c r="Q23" s="645">
        <v>41.18</v>
      </c>
      <c r="R23" s="646">
        <v>42.86</v>
      </c>
      <c r="S23" s="647">
        <v>41.18</v>
      </c>
      <c r="T23" s="645">
        <v>43.15</v>
      </c>
      <c r="U23" s="645">
        <v>43.94</v>
      </c>
      <c r="V23" s="647">
        <v>37.5</v>
      </c>
      <c r="W23" s="645">
        <v>45.45</v>
      </c>
      <c r="X23" s="645">
        <v>36.71</v>
      </c>
      <c r="Y23" s="645">
        <v>21.88</v>
      </c>
      <c r="Z23" s="601">
        <v>33.47</v>
      </c>
      <c r="AB23" s="104">
        <v>21</v>
      </c>
      <c r="AC23" s="103" t="s">
        <v>465</v>
      </c>
      <c r="AD23" s="283"/>
    </row>
    <row r="24" spans="4:30" ht="15">
      <c r="D24" s="66">
        <v>2</v>
      </c>
      <c r="E24" s="110" t="s">
        <v>167</v>
      </c>
      <c r="F24" s="15">
        <v>4</v>
      </c>
      <c r="G24" s="110" t="s">
        <v>167</v>
      </c>
      <c r="P24" s="24">
        <v>79</v>
      </c>
      <c r="Q24" s="645">
        <v>42.35</v>
      </c>
      <c r="R24" s="646">
        <v>44.22</v>
      </c>
      <c r="S24" s="647">
        <v>42.35</v>
      </c>
      <c r="T24" s="645">
        <v>46.19</v>
      </c>
      <c r="U24" s="645">
        <v>44.95</v>
      </c>
      <c r="V24" s="647">
        <v>39.58</v>
      </c>
      <c r="W24" s="645">
        <v>48.59</v>
      </c>
      <c r="X24" s="645">
        <v>39.69</v>
      </c>
      <c r="Y24" s="645">
        <v>24.06</v>
      </c>
      <c r="Z24" s="601">
        <v>36.29</v>
      </c>
      <c r="AB24" s="104">
        <v>22</v>
      </c>
      <c r="AC24" s="103" t="s">
        <v>466</v>
      </c>
      <c r="AD24" s="283"/>
    </row>
    <row r="25" spans="4:30" ht="15">
      <c r="D25" s="66">
        <v>3</v>
      </c>
      <c r="E25" s="110" t="s">
        <v>168</v>
      </c>
      <c r="F25" s="15">
        <v>3</v>
      </c>
      <c r="G25" s="110" t="s">
        <v>168</v>
      </c>
      <c r="P25" s="24">
        <v>78</v>
      </c>
      <c r="Q25" s="645">
        <v>43.53</v>
      </c>
      <c r="R25" s="646">
        <v>47.62</v>
      </c>
      <c r="S25" s="647">
        <v>43.53</v>
      </c>
      <c r="T25" s="645">
        <v>48.73</v>
      </c>
      <c r="U25" s="645">
        <v>46.46</v>
      </c>
      <c r="V25" s="647">
        <v>42.08</v>
      </c>
      <c r="W25" s="645">
        <v>50.78</v>
      </c>
      <c r="X25" s="645">
        <v>43.18</v>
      </c>
      <c r="Y25" s="645">
        <v>25.94</v>
      </c>
      <c r="Z25" s="601">
        <v>37.5</v>
      </c>
      <c r="AB25" s="104">
        <v>23</v>
      </c>
      <c r="AC25" s="103" t="s">
        <v>467</v>
      </c>
      <c r="AD25" s="283"/>
    </row>
    <row r="26" spans="4:30" ht="15">
      <c r="D26" s="66">
        <v>4</v>
      </c>
      <c r="E26" s="110" t="s">
        <v>169</v>
      </c>
      <c r="F26" s="15">
        <v>2</v>
      </c>
      <c r="G26" s="110" t="s">
        <v>169</v>
      </c>
      <c r="P26" s="24">
        <v>77</v>
      </c>
      <c r="Q26" s="645">
        <v>48.82</v>
      </c>
      <c r="R26" s="646">
        <v>48.98</v>
      </c>
      <c r="S26" s="647">
        <v>48.82</v>
      </c>
      <c r="T26" s="645">
        <v>50.76</v>
      </c>
      <c r="U26" s="645">
        <v>47.98</v>
      </c>
      <c r="V26" s="647">
        <v>44.17</v>
      </c>
      <c r="W26" s="645">
        <v>52.66</v>
      </c>
      <c r="X26" s="645">
        <v>46.33</v>
      </c>
      <c r="Y26" s="645">
        <v>27.97</v>
      </c>
      <c r="Z26" s="601">
        <v>39.92</v>
      </c>
      <c r="AB26" s="104">
        <v>24</v>
      </c>
      <c r="AC26" s="103" t="s">
        <v>468</v>
      </c>
      <c r="AD26" s="283"/>
    </row>
    <row r="27" spans="4:30" ht="15">
      <c r="D27" s="66">
        <v>5</v>
      </c>
      <c r="E27" s="110" t="s">
        <v>170</v>
      </c>
      <c r="F27" s="15">
        <v>1</v>
      </c>
      <c r="G27" s="110" t="s">
        <v>170</v>
      </c>
      <c r="P27" s="24">
        <v>76</v>
      </c>
      <c r="Q27" s="645">
        <v>51.76</v>
      </c>
      <c r="R27" s="646">
        <v>53.06</v>
      </c>
      <c r="S27" s="647">
        <v>51.76</v>
      </c>
      <c r="T27" s="645">
        <v>53.81</v>
      </c>
      <c r="U27" s="645">
        <v>48.99</v>
      </c>
      <c r="V27" s="647">
        <v>45</v>
      </c>
      <c r="W27" s="645">
        <v>53.92</v>
      </c>
      <c r="X27" s="645">
        <v>49.13</v>
      </c>
      <c r="Y27" s="645">
        <v>29.28</v>
      </c>
      <c r="Z27" s="601">
        <v>41.53</v>
      </c>
      <c r="AB27" s="104">
        <v>25</v>
      </c>
      <c r="AC27" s="103" t="s">
        <v>469</v>
      </c>
      <c r="AD27" s="283"/>
    </row>
    <row r="28" spans="4:30" ht="15">
      <c r="D28" s="66">
        <v>6</v>
      </c>
      <c r="E28" s="110" t="s">
        <v>171</v>
      </c>
      <c r="F28" s="15">
        <v>5</v>
      </c>
      <c r="G28" s="110" t="s">
        <v>171</v>
      </c>
      <c r="P28" s="24">
        <v>75</v>
      </c>
      <c r="Q28" s="645">
        <v>54.71</v>
      </c>
      <c r="R28" s="646">
        <v>56.46</v>
      </c>
      <c r="S28" s="647">
        <v>54.71</v>
      </c>
      <c r="T28" s="645">
        <v>55.84</v>
      </c>
      <c r="U28" s="645">
        <v>52.53</v>
      </c>
      <c r="V28" s="647">
        <v>47.5</v>
      </c>
      <c r="W28" s="645">
        <v>54.86</v>
      </c>
      <c r="X28" s="645">
        <v>50.87</v>
      </c>
      <c r="Y28" s="645">
        <v>32.46</v>
      </c>
      <c r="Z28" s="601">
        <v>44.35</v>
      </c>
      <c r="AB28" s="104">
        <v>26</v>
      </c>
      <c r="AC28" s="103" t="s">
        <v>470</v>
      </c>
      <c r="AD28" s="283"/>
    </row>
    <row r="29" spans="4:30" ht="15">
      <c r="D29" s="66">
        <v>7</v>
      </c>
      <c r="E29" s="110" t="s">
        <v>172</v>
      </c>
      <c r="F29" s="15">
        <v>4</v>
      </c>
      <c r="G29" s="110" t="s">
        <v>172</v>
      </c>
      <c r="P29" s="24">
        <v>74</v>
      </c>
      <c r="Q29" s="645">
        <v>57.65</v>
      </c>
      <c r="R29" s="646">
        <v>58.5</v>
      </c>
      <c r="S29" s="647">
        <v>57.65</v>
      </c>
      <c r="T29" s="645">
        <v>58.38</v>
      </c>
      <c r="U29" s="645">
        <v>55.05</v>
      </c>
      <c r="V29" s="647">
        <v>50.42</v>
      </c>
      <c r="W29" s="645">
        <v>57.05</v>
      </c>
      <c r="X29" s="645">
        <v>52.62</v>
      </c>
      <c r="Y29" s="645">
        <v>35.22</v>
      </c>
      <c r="Z29" s="601">
        <v>48.39</v>
      </c>
      <c r="AB29" s="104">
        <v>27</v>
      </c>
      <c r="AC29" s="103" t="s">
        <v>471</v>
      </c>
      <c r="AD29" s="283"/>
    </row>
    <row r="30" spans="4:30" ht="15">
      <c r="D30" s="66">
        <v>8</v>
      </c>
      <c r="E30" s="110" t="s">
        <v>173</v>
      </c>
      <c r="F30" s="15">
        <v>3</v>
      </c>
      <c r="G30" s="110" t="s">
        <v>173</v>
      </c>
      <c r="P30" s="24">
        <v>73</v>
      </c>
      <c r="Q30" s="645">
        <v>61.18</v>
      </c>
      <c r="R30" s="646">
        <v>59.86</v>
      </c>
      <c r="S30" s="647">
        <v>61.18</v>
      </c>
      <c r="T30" s="645">
        <v>59.39</v>
      </c>
      <c r="U30" s="645">
        <v>58.59</v>
      </c>
      <c r="V30" s="647">
        <v>54.17</v>
      </c>
      <c r="W30" s="645">
        <v>60.5</v>
      </c>
      <c r="X30" s="645">
        <v>54.55</v>
      </c>
      <c r="Y30" s="645">
        <v>37.83</v>
      </c>
      <c r="Z30" s="601">
        <v>50.4</v>
      </c>
      <c r="AB30" s="104">
        <v>28</v>
      </c>
      <c r="AC30" s="103" t="s">
        <v>472</v>
      </c>
      <c r="AD30" s="283"/>
    </row>
    <row r="31" spans="4:30" ht="15">
      <c r="D31" s="66">
        <v>9</v>
      </c>
      <c r="E31" s="110" t="s">
        <v>174</v>
      </c>
      <c r="F31" s="15">
        <v>2</v>
      </c>
      <c r="G31" s="110" t="s">
        <v>174</v>
      </c>
      <c r="P31" s="24">
        <v>72</v>
      </c>
      <c r="Q31" s="645">
        <v>62.35</v>
      </c>
      <c r="R31" s="646">
        <v>61.22</v>
      </c>
      <c r="S31" s="647">
        <v>62.35</v>
      </c>
      <c r="T31" s="645">
        <v>62.44</v>
      </c>
      <c r="U31" s="645">
        <v>61.62</v>
      </c>
      <c r="V31" s="647">
        <v>56.25</v>
      </c>
      <c r="W31" s="645">
        <v>63.95</v>
      </c>
      <c r="X31" s="645">
        <v>56.82</v>
      </c>
      <c r="Y31" s="645">
        <v>41.45</v>
      </c>
      <c r="Z31" s="601">
        <v>53.63</v>
      </c>
      <c r="AB31" s="104">
        <v>29</v>
      </c>
      <c r="AC31" s="290" t="s">
        <v>473</v>
      </c>
      <c r="AD31" s="283"/>
    </row>
    <row r="32" spans="4:30" ht="15">
      <c r="D32" s="66">
        <v>10</v>
      </c>
      <c r="E32" s="110" t="s">
        <v>175</v>
      </c>
      <c r="F32" s="15">
        <v>1</v>
      </c>
      <c r="G32" s="110" t="s">
        <v>175</v>
      </c>
      <c r="P32" s="24">
        <v>71</v>
      </c>
      <c r="Q32" s="645">
        <v>64.12</v>
      </c>
      <c r="R32" s="646">
        <v>63.95</v>
      </c>
      <c r="S32" s="647">
        <v>64.12</v>
      </c>
      <c r="T32" s="645">
        <v>64.97</v>
      </c>
      <c r="U32" s="645">
        <v>63.64</v>
      </c>
      <c r="V32" s="647">
        <v>57.92</v>
      </c>
      <c r="W32" s="645">
        <v>67.08</v>
      </c>
      <c r="X32" s="645">
        <v>59.62</v>
      </c>
      <c r="Y32" s="645">
        <v>45.94</v>
      </c>
      <c r="Z32" s="601">
        <v>58.47</v>
      </c>
      <c r="AB32" s="104">
        <v>30</v>
      </c>
      <c r="AC32" s="103" t="s">
        <v>474</v>
      </c>
      <c r="AD32" s="283"/>
    </row>
    <row r="33" spans="4:30" ht="15">
      <c r="D33" s="66">
        <v>11</v>
      </c>
      <c r="E33" s="110" t="s">
        <v>176</v>
      </c>
      <c r="F33" s="15">
        <v>5</v>
      </c>
      <c r="G33" s="110"/>
      <c r="P33" s="24">
        <v>70</v>
      </c>
      <c r="Q33" s="645">
        <v>65.88</v>
      </c>
      <c r="R33" s="646">
        <v>66.67</v>
      </c>
      <c r="S33" s="647">
        <v>65.88</v>
      </c>
      <c r="T33" s="645">
        <v>65.99</v>
      </c>
      <c r="U33" s="645">
        <v>66.67</v>
      </c>
      <c r="V33" s="647">
        <v>61.25</v>
      </c>
      <c r="W33" s="645">
        <v>70.22</v>
      </c>
      <c r="X33" s="645">
        <v>61.71</v>
      </c>
      <c r="Y33" s="645">
        <v>48.26</v>
      </c>
      <c r="Z33" s="601">
        <v>62.9</v>
      </c>
      <c r="AB33" s="104">
        <v>31</v>
      </c>
      <c r="AC33" s="103" t="s">
        <v>475</v>
      </c>
      <c r="AD33" s="283"/>
    </row>
    <row r="34" spans="1:30" ht="15">
      <c r="A34" s="109"/>
      <c r="B34" s="108"/>
      <c r="D34" s="66">
        <v>12</v>
      </c>
      <c r="E34" s="110" t="s">
        <v>177</v>
      </c>
      <c r="F34" s="15">
        <v>4</v>
      </c>
      <c r="P34" s="24">
        <v>69</v>
      </c>
      <c r="Q34" s="645">
        <v>70.59</v>
      </c>
      <c r="R34" s="646">
        <v>68.03</v>
      </c>
      <c r="S34" s="647">
        <v>70.59</v>
      </c>
      <c r="T34" s="645">
        <v>70.05</v>
      </c>
      <c r="U34" s="645">
        <v>70.2</v>
      </c>
      <c r="V34" s="647">
        <v>64.17</v>
      </c>
      <c r="W34" s="645">
        <v>71.79</v>
      </c>
      <c r="X34" s="645">
        <v>63.99</v>
      </c>
      <c r="Y34" s="645">
        <v>51.88</v>
      </c>
      <c r="Z34" s="601">
        <v>64.92</v>
      </c>
      <c r="AB34" s="104">
        <v>32</v>
      </c>
      <c r="AC34" s="103" t="s">
        <v>476</v>
      </c>
      <c r="AD34" s="283"/>
    </row>
    <row r="35" spans="4:30" ht="15">
      <c r="D35" s="66">
        <v>13</v>
      </c>
      <c r="E35" s="110" t="s">
        <v>178</v>
      </c>
      <c r="F35" s="15">
        <v>3</v>
      </c>
      <c r="P35" s="24">
        <v>68</v>
      </c>
      <c r="Q35" s="645">
        <v>74.12</v>
      </c>
      <c r="R35" s="646">
        <v>69.39</v>
      </c>
      <c r="S35" s="647">
        <v>74.12</v>
      </c>
      <c r="T35" s="645">
        <v>74.62</v>
      </c>
      <c r="U35" s="645">
        <v>74.75</v>
      </c>
      <c r="V35" s="647">
        <v>69.17</v>
      </c>
      <c r="W35" s="645">
        <v>74.92</v>
      </c>
      <c r="X35" s="645">
        <v>68.18</v>
      </c>
      <c r="Y35" s="645">
        <v>58.26</v>
      </c>
      <c r="Z35" s="601">
        <v>68.95</v>
      </c>
      <c r="AB35" s="104">
        <v>33</v>
      </c>
      <c r="AC35" s="103" t="s">
        <v>477</v>
      </c>
      <c r="AD35" s="283"/>
    </row>
    <row r="36" spans="4:30" ht="15">
      <c r="D36" s="66">
        <v>14</v>
      </c>
      <c r="E36" s="110"/>
      <c r="F36" s="15"/>
      <c r="P36" s="24">
        <v>67</v>
      </c>
      <c r="Q36" s="645">
        <v>77.65</v>
      </c>
      <c r="R36" s="646">
        <v>72.11</v>
      </c>
      <c r="S36" s="647">
        <v>77.65</v>
      </c>
      <c r="T36" s="645">
        <v>77.16</v>
      </c>
      <c r="U36" s="645">
        <v>78.28</v>
      </c>
      <c r="V36" s="647">
        <v>72.08</v>
      </c>
      <c r="W36" s="645">
        <v>77.12</v>
      </c>
      <c r="X36" s="645">
        <v>70.63</v>
      </c>
      <c r="Y36" s="645">
        <v>62.32</v>
      </c>
      <c r="Z36" s="601">
        <v>73.79</v>
      </c>
      <c r="AB36" s="104">
        <v>34</v>
      </c>
      <c r="AC36" s="103" t="s">
        <v>478</v>
      </c>
      <c r="AD36" s="283"/>
    </row>
    <row r="37" spans="16:30" ht="15">
      <c r="P37" s="24">
        <v>66</v>
      </c>
      <c r="Q37" s="645">
        <v>81.76</v>
      </c>
      <c r="R37" s="646">
        <v>74.15</v>
      </c>
      <c r="S37" s="647">
        <v>81.76</v>
      </c>
      <c r="T37" s="645">
        <v>78.68</v>
      </c>
      <c r="U37" s="645">
        <v>81.31</v>
      </c>
      <c r="V37" s="647">
        <v>75.83</v>
      </c>
      <c r="W37" s="645">
        <v>80.88</v>
      </c>
      <c r="X37" s="645">
        <v>75.52</v>
      </c>
      <c r="Y37" s="645">
        <v>67.97</v>
      </c>
      <c r="Z37" s="601">
        <v>77.42</v>
      </c>
      <c r="AB37" s="104">
        <v>35</v>
      </c>
      <c r="AC37" s="103" t="s">
        <v>505</v>
      </c>
      <c r="AD37" s="283"/>
    </row>
    <row r="38" spans="5:30" ht="15">
      <c r="E38" s="108" t="s">
        <v>824</v>
      </c>
      <c r="G38" s="283" t="s">
        <v>826</v>
      </c>
      <c r="P38" s="24">
        <v>65</v>
      </c>
      <c r="Q38" s="645">
        <v>87.06</v>
      </c>
      <c r="R38" s="646">
        <v>78.91</v>
      </c>
      <c r="S38" s="647">
        <v>87.06</v>
      </c>
      <c r="T38" s="645">
        <v>80.71</v>
      </c>
      <c r="U38" s="645">
        <v>84.85</v>
      </c>
      <c r="V38" s="647">
        <v>80</v>
      </c>
      <c r="W38" s="645">
        <v>86.52</v>
      </c>
      <c r="X38" s="645">
        <v>80.42</v>
      </c>
      <c r="Y38" s="645">
        <v>72.32</v>
      </c>
      <c r="Z38" s="601">
        <v>79.44</v>
      </c>
      <c r="AB38" s="104">
        <v>36</v>
      </c>
      <c r="AC38" s="103" t="s">
        <v>479</v>
      </c>
      <c r="AD38" s="283"/>
    </row>
    <row r="39" spans="5:30" ht="15">
      <c r="E39" s="108" t="s">
        <v>825</v>
      </c>
      <c r="G39" s="283" t="s">
        <v>825</v>
      </c>
      <c r="P39" s="24">
        <v>64</v>
      </c>
      <c r="Q39" s="645">
        <v>89.41</v>
      </c>
      <c r="R39" s="646">
        <v>83.67</v>
      </c>
      <c r="S39" s="647">
        <v>89.41</v>
      </c>
      <c r="T39" s="645">
        <v>84.26</v>
      </c>
      <c r="U39" s="645">
        <v>86.87</v>
      </c>
      <c r="V39" s="647">
        <v>85.42</v>
      </c>
      <c r="W39" s="645">
        <v>89.66</v>
      </c>
      <c r="X39" s="645">
        <v>85.14</v>
      </c>
      <c r="Y39" s="645">
        <v>77.54</v>
      </c>
      <c r="Z39" s="601">
        <v>83.47</v>
      </c>
      <c r="AB39" s="104">
        <v>37</v>
      </c>
      <c r="AC39" s="103" t="s">
        <v>483</v>
      </c>
      <c r="AD39" s="283"/>
    </row>
    <row r="40" spans="16:30" ht="15">
      <c r="P40" s="24">
        <v>63</v>
      </c>
      <c r="Q40" s="645">
        <v>93.53</v>
      </c>
      <c r="R40" s="646">
        <v>86.39</v>
      </c>
      <c r="S40" s="647">
        <v>93.53</v>
      </c>
      <c r="T40" s="645">
        <v>89.85</v>
      </c>
      <c r="U40" s="645">
        <v>89.9</v>
      </c>
      <c r="V40" s="647">
        <v>89.58</v>
      </c>
      <c r="W40" s="645">
        <v>92.79</v>
      </c>
      <c r="X40" s="645">
        <v>89.34</v>
      </c>
      <c r="Y40" s="645">
        <v>83.48</v>
      </c>
      <c r="Z40" s="601">
        <v>86.69</v>
      </c>
      <c r="AB40" s="104">
        <v>38</v>
      </c>
      <c r="AC40" s="103" t="s">
        <v>484</v>
      </c>
      <c r="AD40" s="283"/>
    </row>
    <row r="41" spans="16:30" ht="15">
      <c r="P41" s="24">
        <v>62</v>
      </c>
      <c r="Q41" s="645">
        <v>95.29</v>
      </c>
      <c r="R41" s="646">
        <v>88.44</v>
      </c>
      <c r="S41" s="647">
        <v>95.29</v>
      </c>
      <c r="T41" s="645">
        <v>91.88</v>
      </c>
      <c r="U41" s="645">
        <v>94.95</v>
      </c>
      <c r="V41" s="647">
        <v>93.33</v>
      </c>
      <c r="W41" s="645">
        <v>96.55</v>
      </c>
      <c r="X41" s="645">
        <v>93.36</v>
      </c>
      <c r="Y41" s="645">
        <v>89.13</v>
      </c>
      <c r="Z41" s="601">
        <v>91.53</v>
      </c>
      <c r="AB41" s="104">
        <v>39</v>
      </c>
      <c r="AC41" s="103" t="s">
        <v>485</v>
      </c>
      <c r="AD41" s="283"/>
    </row>
    <row r="42" spans="16:30" ht="15">
      <c r="P42" s="24">
        <v>61</v>
      </c>
      <c r="Q42" s="645">
        <v>98.82</v>
      </c>
      <c r="R42" s="646">
        <v>97.28</v>
      </c>
      <c r="S42" s="647">
        <v>98.82</v>
      </c>
      <c r="T42" s="645">
        <v>97.46</v>
      </c>
      <c r="U42" s="645">
        <v>98.48</v>
      </c>
      <c r="V42" s="647">
        <v>97.5</v>
      </c>
      <c r="W42" s="645">
        <v>98.75</v>
      </c>
      <c r="X42" s="645">
        <v>96.5</v>
      </c>
      <c r="Y42" s="645">
        <v>95.8</v>
      </c>
      <c r="Z42" s="601">
        <v>97.98</v>
      </c>
      <c r="AB42" s="104">
        <v>40</v>
      </c>
      <c r="AC42" s="103" t="s">
        <v>486</v>
      </c>
      <c r="AD42" s="283"/>
    </row>
    <row r="43" spans="16:30" ht="15">
      <c r="P43" s="24">
        <v>60</v>
      </c>
      <c r="Q43" s="24">
        <v>100</v>
      </c>
      <c r="R43" s="379">
        <v>100</v>
      </c>
      <c r="S43" s="269">
        <v>100</v>
      </c>
      <c r="T43" s="327">
        <v>100</v>
      </c>
      <c r="U43" s="24">
        <v>100</v>
      </c>
      <c r="V43" s="269">
        <v>100</v>
      </c>
      <c r="W43" s="24">
        <v>100</v>
      </c>
      <c r="X43" s="24">
        <v>100</v>
      </c>
      <c r="Y43" s="24">
        <v>100</v>
      </c>
      <c r="Z43" s="67">
        <v>100</v>
      </c>
      <c r="AB43" s="104">
        <v>41</v>
      </c>
      <c r="AC43" s="103" t="s">
        <v>487</v>
      </c>
      <c r="AD43" s="283"/>
    </row>
    <row r="44" spans="28:30" ht="15">
      <c r="AB44" s="104">
        <v>42</v>
      </c>
      <c r="AC44" s="103" t="s">
        <v>488</v>
      </c>
      <c r="AD44" s="283"/>
    </row>
    <row r="45" spans="28:30" ht="15">
      <c r="AB45" s="104">
        <v>43</v>
      </c>
      <c r="AC45" s="103" t="s">
        <v>489</v>
      </c>
      <c r="AD45" s="283"/>
    </row>
    <row r="46" spans="28:30" ht="15">
      <c r="AB46" s="104">
        <v>44</v>
      </c>
      <c r="AC46" s="103" t="s">
        <v>490</v>
      </c>
      <c r="AD46" s="283"/>
    </row>
    <row r="47" spans="28:30" ht="15">
      <c r="AB47" s="104">
        <v>45</v>
      </c>
      <c r="AC47" s="103" t="s">
        <v>506</v>
      </c>
      <c r="AD47" s="283"/>
    </row>
    <row r="48" spans="28:30" ht="15">
      <c r="AB48" s="104">
        <v>46</v>
      </c>
      <c r="AC48" s="103" t="s">
        <v>491</v>
      </c>
      <c r="AD48" s="283"/>
    </row>
    <row r="49" spans="28:30" ht="15">
      <c r="AB49" s="104">
        <v>47</v>
      </c>
      <c r="AC49" s="103" t="s">
        <v>492</v>
      </c>
      <c r="AD49" s="283"/>
    </row>
    <row r="50" spans="28:30" ht="15">
      <c r="AB50" s="104">
        <v>48</v>
      </c>
      <c r="AC50" s="103" t="s">
        <v>493</v>
      </c>
      <c r="AD50" s="283"/>
    </row>
    <row r="51" spans="28:30" ht="15">
      <c r="AB51" s="104">
        <v>49</v>
      </c>
      <c r="AC51" s="103" t="s">
        <v>494</v>
      </c>
      <c r="AD51" s="283"/>
    </row>
    <row r="52" spans="28:30" ht="15">
      <c r="AB52" s="104">
        <v>50</v>
      </c>
      <c r="AC52" s="290" t="s">
        <v>495</v>
      </c>
      <c r="AD52" s="283"/>
    </row>
    <row r="53" spans="28:30" ht="15">
      <c r="AB53" s="104">
        <v>51</v>
      </c>
      <c r="AC53" s="103" t="s">
        <v>497</v>
      </c>
      <c r="AD53" s="283"/>
    </row>
    <row r="54" spans="28:30" ht="15">
      <c r="AB54" s="104">
        <v>52</v>
      </c>
      <c r="AC54" s="103" t="s">
        <v>498</v>
      </c>
      <c r="AD54" s="283"/>
    </row>
    <row r="55" spans="28:30" ht="15">
      <c r="AB55" s="104">
        <v>53</v>
      </c>
      <c r="AC55" s="103" t="s">
        <v>499</v>
      </c>
      <c r="AD55" s="283"/>
    </row>
    <row r="56" spans="28:30" ht="15">
      <c r="AB56" s="104">
        <v>54</v>
      </c>
      <c r="AC56" s="103" t="s">
        <v>500</v>
      </c>
      <c r="AD56" s="283"/>
    </row>
    <row r="57" spans="28:30" ht="15">
      <c r="AB57" s="104">
        <v>55</v>
      </c>
      <c r="AC57" s="103" t="s">
        <v>501</v>
      </c>
      <c r="AD57" s="283"/>
    </row>
    <row r="58" spans="28:30" ht="15">
      <c r="AB58" s="104">
        <v>56</v>
      </c>
      <c r="AC58" s="103" t="s">
        <v>502</v>
      </c>
      <c r="AD58" s="283"/>
    </row>
    <row r="59" spans="28:30" ht="15">
      <c r="AB59" s="104">
        <v>57</v>
      </c>
      <c r="AC59" s="103" t="s">
        <v>503</v>
      </c>
      <c r="AD59" s="283"/>
    </row>
    <row r="60" spans="28:30" ht="15">
      <c r="AB60" s="104">
        <v>58</v>
      </c>
      <c r="AC60" s="103" t="s">
        <v>504</v>
      </c>
      <c r="AD60" s="283"/>
    </row>
    <row r="61" spans="28:30" ht="15">
      <c r="AB61" s="104">
        <v>59</v>
      </c>
      <c r="AC61" s="278" t="s">
        <v>457</v>
      </c>
      <c r="AD61" s="283"/>
    </row>
    <row r="62" spans="28:30" ht="15">
      <c r="AB62" s="104">
        <v>60</v>
      </c>
      <c r="AC62" s="278" t="s">
        <v>480</v>
      </c>
      <c r="AD62" s="283"/>
    </row>
    <row r="63" spans="28:30" ht="15">
      <c r="AB63" s="104">
        <v>61</v>
      </c>
      <c r="AC63" s="278" t="s">
        <v>481</v>
      </c>
      <c r="AD63" s="283"/>
    </row>
    <row r="64" spans="28:30" ht="15">
      <c r="AB64" s="104">
        <v>62</v>
      </c>
      <c r="AC64" s="278" t="s">
        <v>482</v>
      </c>
      <c r="AD64" s="283"/>
    </row>
    <row r="65" spans="28:30" ht="15">
      <c r="AB65" s="104">
        <v>63</v>
      </c>
      <c r="AC65" s="278" t="s">
        <v>496</v>
      </c>
      <c r="AD65" s="283"/>
    </row>
    <row r="66" spans="28:30" ht="15">
      <c r="AB66" s="104">
        <v>64</v>
      </c>
      <c r="AC66" s="278" t="s">
        <v>440</v>
      </c>
      <c r="AD66" s="283"/>
    </row>
    <row r="67" spans="28:30" ht="15">
      <c r="AB67" s="104">
        <v>65</v>
      </c>
      <c r="AC67" s="278" t="s">
        <v>441</v>
      </c>
      <c r="AD67" s="283"/>
    </row>
    <row r="68" spans="28:30" ht="15">
      <c r="AB68" s="104">
        <v>66</v>
      </c>
      <c r="AC68" s="278" t="s">
        <v>442</v>
      </c>
      <c r="AD68" s="283"/>
    </row>
    <row r="69" spans="28:29" ht="15">
      <c r="AB69" s="104">
        <v>67</v>
      </c>
      <c r="AC69" s="278" t="s">
        <v>443</v>
      </c>
    </row>
  </sheetData>
  <sheetProtection algorithmName="SHA-512" hashValue="/0gsu373z2uKd7MSkibXLge8cNDlgJVHZ7ibaWIjQlqyHV9bwnvYMUq0WOHGJomiAc5Nt2zDPST0ckry9YCpEA==" saltValue="jJ3C+SUxpo/Ceb2ZImwa6A==" spinCount="100000" sheet="1" objects="1" scenarios="1"/>
  <mergeCells count="9">
    <mergeCell ref="D22:F22"/>
    <mergeCell ref="K1:N1"/>
    <mergeCell ref="A8:B8"/>
    <mergeCell ref="A13:B13"/>
    <mergeCell ref="D1:G2"/>
    <mergeCell ref="I1:I2"/>
    <mergeCell ref="A1:B1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B6"/>
  <sheetViews>
    <sheetView showGridLines="0" zoomScale="85" zoomScaleNormal="85" workbookViewId="0" topLeftCell="DN1">
      <selection activeCell="EP4" sqref="EP4"/>
    </sheetView>
  </sheetViews>
  <sheetFormatPr defaultColWidth="9.140625" defaultRowHeight="15"/>
  <cols>
    <col min="1" max="2" width="5.28125" style="341" bestFit="1" customWidth="1"/>
    <col min="3" max="4" width="5.28125" style="341" customWidth="1"/>
    <col min="5" max="5" width="9.28125" style="340" bestFit="1" customWidth="1"/>
    <col min="6" max="6" width="8.57421875" style="340" customWidth="1"/>
    <col min="7" max="7" width="13.00390625" style="340" bestFit="1" customWidth="1"/>
    <col min="8" max="8" width="9.00390625" style="340" customWidth="1"/>
    <col min="9" max="9" width="13.8515625" style="340" bestFit="1" customWidth="1"/>
    <col min="10" max="10" width="39.7109375" style="340" customWidth="1"/>
    <col min="11" max="11" width="11.00390625" style="340" customWidth="1"/>
    <col min="12" max="12" width="10.57421875" style="340" customWidth="1"/>
    <col min="13" max="13" width="15.00390625" style="340" customWidth="1"/>
    <col min="14" max="14" width="10.57421875" style="340" customWidth="1"/>
    <col min="15" max="17" width="13.421875" style="340" customWidth="1"/>
    <col min="18" max="18" width="9.00390625" style="340" bestFit="1" customWidth="1"/>
    <col min="19" max="19" width="10.140625" style="340" bestFit="1" customWidth="1"/>
    <col min="20" max="20" width="10.00390625" style="340" bestFit="1" customWidth="1"/>
    <col min="21" max="22" width="10.57421875" style="340" customWidth="1"/>
    <col min="23" max="28" width="12.00390625" style="340" customWidth="1"/>
    <col min="29" max="29" width="16.421875" style="336" customWidth="1"/>
    <col min="30" max="32" width="17.28125" style="336" customWidth="1"/>
    <col min="33" max="37" width="5.421875" style="337" bestFit="1" customWidth="1"/>
    <col min="38" max="38" width="6.421875" style="340" bestFit="1" customWidth="1"/>
    <col min="39" max="42" width="5.421875" style="337" bestFit="1" customWidth="1"/>
    <col min="43" max="43" width="6.421875" style="340" bestFit="1" customWidth="1"/>
    <col min="44" max="44" width="16.28125" style="337" bestFit="1" customWidth="1"/>
    <col min="45" max="45" width="17.421875" style="337" bestFit="1" customWidth="1"/>
    <col min="46" max="46" width="15.00390625" style="340" bestFit="1" customWidth="1"/>
    <col min="47" max="47" width="13.140625" style="337" customWidth="1"/>
    <col min="48" max="50" width="6.8515625" style="337" bestFit="1" customWidth="1"/>
    <col min="51" max="53" width="5.8515625" style="337" bestFit="1" customWidth="1"/>
    <col min="54" max="54" width="9.00390625" style="340" bestFit="1" customWidth="1"/>
    <col min="55" max="56" width="7.8515625" style="340" bestFit="1" customWidth="1"/>
    <col min="57" max="57" width="8.00390625" style="340" bestFit="1" customWidth="1"/>
    <col min="58" max="59" width="6.8515625" style="340" bestFit="1" customWidth="1"/>
    <col min="60" max="60" width="8.00390625" style="340" bestFit="1" customWidth="1"/>
    <col min="61" max="61" width="8.421875" style="340" bestFit="1" customWidth="1"/>
    <col min="62" max="62" width="7.57421875" style="340" customWidth="1"/>
    <col min="63" max="63" width="9.421875" style="340" customWidth="1"/>
    <col min="64" max="67" width="6.421875" style="340" bestFit="1" customWidth="1"/>
    <col min="68" max="68" width="9.28125" style="340" bestFit="1" customWidth="1"/>
    <col min="69" max="69" width="8.7109375" style="340" bestFit="1" customWidth="1"/>
    <col min="70" max="70" width="15.8515625" style="340" customWidth="1"/>
    <col min="71" max="71" width="9.00390625" style="340" customWidth="1"/>
    <col min="72" max="72" width="11.140625" style="340" bestFit="1" customWidth="1"/>
    <col min="73" max="73" width="11.57421875" style="340" bestFit="1" customWidth="1"/>
    <col min="74" max="74" width="15.00390625" style="340" bestFit="1" customWidth="1"/>
    <col min="75" max="75" width="11.57421875" style="340" customWidth="1"/>
    <col min="76" max="77" width="5.421875" style="340" bestFit="1" customWidth="1"/>
    <col min="78" max="78" width="11.57421875" style="340" bestFit="1" customWidth="1"/>
    <col min="79" max="81" width="12.140625" style="337" customWidth="1"/>
    <col min="82" max="82" width="9.8515625" style="337" customWidth="1"/>
    <col min="83" max="83" width="39.8515625" style="340" customWidth="1"/>
    <col min="84" max="84" width="13.00390625" style="338" customWidth="1"/>
    <col min="85" max="85" width="6.00390625" style="340" bestFit="1" customWidth="1"/>
    <col min="86" max="86" width="16.8515625" style="340" customWidth="1"/>
    <col min="87" max="87" width="12.8515625" style="340" customWidth="1"/>
    <col min="88" max="89" width="14.421875" style="340" bestFit="1" customWidth="1"/>
    <col min="90" max="90" width="15.57421875" style="340" customWidth="1"/>
    <col min="91" max="92" width="16.7109375" style="340" customWidth="1"/>
    <col min="93" max="93" width="35.28125" style="340" customWidth="1"/>
    <col min="94" max="98" width="3.7109375" style="340" bestFit="1" customWidth="1"/>
    <col min="99" max="99" width="7.140625" style="340" bestFit="1" customWidth="1"/>
    <col min="100" max="104" width="3.7109375" style="340" bestFit="1" customWidth="1"/>
    <col min="105" max="105" width="7.140625" style="340" bestFit="1" customWidth="1"/>
    <col min="106" max="110" width="3.7109375" style="340" bestFit="1" customWidth="1"/>
    <col min="111" max="111" width="7.140625" style="340" bestFit="1" customWidth="1"/>
    <col min="112" max="116" width="4.8515625" style="340" bestFit="1" customWidth="1"/>
    <col min="117" max="117" width="7.140625" style="340" bestFit="1" customWidth="1"/>
    <col min="118" max="122" width="4.8515625" style="340" bestFit="1" customWidth="1"/>
    <col min="123" max="123" width="7.140625" style="340" bestFit="1" customWidth="1"/>
    <col min="124" max="135" width="4.8515625" style="340" bestFit="1" customWidth="1"/>
    <col min="136" max="137" width="6.28125" style="340" bestFit="1" customWidth="1"/>
    <col min="138" max="138" width="6.28125" style="340" customWidth="1"/>
    <col min="139" max="139" width="4.8515625" style="340" bestFit="1" customWidth="1"/>
    <col min="140" max="141" width="6.28125" style="340" bestFit="1" customWidth="1"/>
    <col min="142" max="142" width="4.8515625" style="340" bestFit="1" customWidth="1"/>
    <col min="143" max="146" width="5.28125" style="340" bestFit="1" customWidth="1"/>
    <col min="147" max="147" width="8.28125" style="340" customWidth="1"/>
    <col min="148" max="153" width="5.28125" style="340" bestFit="1" customWidth="1"/>
    <col min="154" max="154" width="9.421875" style="340" bestFit="1" customWidth="1"/>
    <col min="155" max="155" width="5.28125" style="340" bestFit="1" customWidth="1"/>
    <col min="156" max="158" width="7.140625" style="340" bestFit="1" customWidth="1"/>
    <col min="159" max="159" width="5.28125" style="340" bestFit="1" customWidth="1"/>
    <col min="160" max="160" width="7.140625" style="340" bestFit="1" customWidth="1"/>
    <col min="161" max="163" width="5.28125" style="340" bestFit="1" customWidth="1"/>
    <col min="164" max="168" width="5.00390625" style="340" bestFit="1" customWidth="1"/>
    <col min="169" max="169" width="8.8515625" style="340" bestFit="1" customWidth="1"/>
    <col min="170" max="175" width="5.28125" style="340" bestFit="1" customWidth="1"/>
    <col min="176" max="176" width="9.421875" style="340" bestFit="1" customWidth="1"/>
    <col min="177" max="177" width="5.28125" style="340" bestFit="1" customWidth="1"/>
    <col min="178" max="180" width="7.140625" style="340" bestFit="1" customWidth="1"/>
    <col min="181" max="181" width="5.28125" style="340" bestFit="1" customWidth="1"/>
    <col min="182" max="182" width="7.140625" style="340" bestFit="1" customWidth="1"/>
    <col min="183" max="185" width="5.28125" style="340" bestFit="1" customWidth="1"/>
    <col min="186" max="190" width="4.8515625" style="340" bestFit="1" customWidth="1"/>
    <col min="191" max="191" width="8.8515625" style="340" bestFit="1" customWidth="1"/>
    <col min="192" max="197" width="5.28125" style="340" bestFit="1" customWidth="1"/>
    <col min="198" max="198" width="9.421875" style="340" bestFit="1" customWidth="1"/>
    <col min="199" max="199" width="5.28125" style="340" bestFit="1" customWidth="1"/>
    <col min="200" max="202" width="7.140625" style="340" bestFit="1" customWidth="1"/>
    <col min="203" max="203" width="5.28125" style="340" bestFit="1" customWidth="1"/>
    <col min="204" max="204" width="7.140625" style="340" bestFit="1" customWidth="1"/>
    <col min="205" max="207" width="5.28125" style="340" bestFit="1" customWidth="1"/>
    <col min="208" max="212" width="5.00390625" style="340" bestFit="1" customWidth="1"/>
    <col min="213" max="213" width="8.8515625" style="340" bestFit="1" customWidth="1"/>
    <col min="214" max="219" width="5.28125" style="340" bestFit="1" customWidth="1"/>
    <col min="220" max="220" width="9.421875" style="340" bestFit="1" customWidth="1"/>
    <col min="221" max="221" width="5.28125" style="340" bestFit="1" customWidth="1"/>
    <col min="222" max="224" width="7.140625" style="340" bestFit="1" customWidth="1"/>
    <col min="225" max="225" width="5.28125" style="340" bestFit="1" customWidth="1"/>
    <col min="226" max="226" width="7.140625" style="340" bestFit="1" customWidth="1"/>
    <col min="227" max="229" width="5.28125" style="340" bestFit="1" customWidth="1"/>
    <col min="230" max="234" width="4.8515625" style="340" bestFit="1" customWidth="1"/>
    <col min="235" max="235" width="8.8515625" style="340" bestFit="1" customWidth="1"/>
    <col min="236" max="236" width="14.8515625" style="340" bestFit="1" customWidth="1"/>
    <col min="237" max="16384" width="9.00390625" style="340" customWidth="1"/>
  </cols>
  <sheetData>
    <row r="1" spans="1:235" s="60" customFormat="1" ht="17.25" thickBot="1">
      <c r="A1" s="459"/>
      <c r="B1" s="459"/>
      <c r="C1" s="459"/>
      <c r="D1" s="459"/>
      <c r="E1" s="59">
        <f>COLUMN()-4</f>
        <v>1</v>
      </c>
      <c r="F1" s="59">
        <f aca="true" t="shared" si="0" ref="F1:BQ1">COLUMN()-4</f>
        <v>2</v>
      </c>
      <c r="G1" s="59">
        <f t="shared" si="0"/>
        <v>3</v>
      </c>
      <c r="H1" s="59">
        <f t="shared" si="0"/>
        <v>4</v>
      </c>
      <c r="I1" s="59">
        <f t="shared" si="0"/>
        <v>5</v>
      </c>
      <c r="J1" s="59">
        <f t="shared" si="0"/>
        <v>6</v>
      </c>
      <c r="K1" s="59">
        <f t="shared" si="0"/>
        <v>7</v>
      </c>
      <c r="L1" s="59">
        <f t="shared" si="0"/>
        <v>8</v>
      </c>
      <c r="M1" s="59">
        <f t="shared" si="0"/>
        <v>9</v>
      </c>
      <c r="N1" s="59">
        <f t="shared" si="0"/>
        <v>10</v>
      </c>
      <c r="O1" s="59">
        <f t="shared" si="0"/>
        <v>11</v>
      </c>
      <c r="P1" s="59">
        <f t="shared" si="0"/>
        <v>12</v>
      </c>
      <c r="Q1" s="59">
        <f t="shared" si="0"/>
        <v>13</v>
      </c>
      <c r="R1" s="59">
        <f t="shared" si="0"/>
        <v>14</v>
      </c>
      <c r="S1" s="59">
        <f t="shared" si="0"/>
        <v>15</v>
      </c>
      <c r="T1" s="59">
        <f t="shared" si="0"/>
        <v>16</v>
      </c>
      <c r="U1" s="59">
        <f t="shared" si="0"/>
        <v>17</v>
      </c>
      <c r="V1" s="59">
        <f t="shared" si="0"/>
        <v>18</v>
      </c>
      <c r="W1" s="59">
        <f t="shared" si="0"/>
        <v>19</v>
      </c>
      <c r="X1" s="59">
        <f t="shared" si="0"/>
        <v>20</v>
      </c>
      <c r="Y1" s="59">
        <f t="shared" si="0"/>
        <v>21</v>
      </c>
      <c r="Z1" s="59">
        <f t="shared" si="0"/>
        <v>22</v>
      </c>
      <c r="AA1" s="59">
        <f t="shared" si="0"/>
        <v>23</v>
      </c>
      <c r="AB1" s="59">
        <f t="shared" si="0"/>
        <v>24</v>
      </c>
      <c r="AC1" s="59">
        <f t="shared" si="0"/>
        <v>25</v>
      </c>
      <c r="AD1" s="59">
        <f t="shared" si="0"/>
        <v>26</v>
      </c>
      <c r="AE1" s="59">
        <f t="shared" si="0"/>
        <v>27</v>
      </c>
      <c r="AF1" s="59">
        <f t="shared" si="0"/>
        <v>28</v>
      </c>
      <c r="AG1" s="59">
        <f t="shared" si="0"/>
        <v>29</v>
      </c>
      <c r="AH1" s="59">
        <f t="shared" si="0"/>
        <v>30</v>
      </c>
      <c r="AI1" s="59">
        <f t="shared" si="0"/>
        <v>31</v>
      </c>
      <c r="AJ1" s="59">
        <f t="shared" si="0"/>
        <v>32</v>
      </c>
      <c r="AK1" s="59">
        <f t="shared" si="0"/>
        <v>33</v>
      </c>
      <c r="AL1" s="59">
        <f t="shared" si="0"/>
        <v>34</v>
      </c>
      <c r="AM1" s="59">
        <f t="shared" si="0"/>
        <v>35</v>
      </c>
      <c r="AN1" s="59">
        <f t="shared" si="0"/>
        <v>36</v>
      </c>
      <c r="AO1" s="59">
        <f t="shared" si="0"/>
        <v>37</v>
      </c>
      <c r="AP1" s="59">
        <f t="shared" si="0"/>
        <v>38</v>
      </c>
      <c r="AQ1" s="59">
        <f t="shared" si="0"/>
        <v>39</v>
      </c>
      <c r="AR1" s="59">
        <f t="shared" si="0"/>
        <v>40</v>
      </c>
      <c r="AS1" s="59">
        <f t="shared" si="0"/>
        <v>41</v>
      </c>
      <c r="AT1" s="59">
        <f t="shared" si="0"/>
        <v>42</v>
      </c>
      <c r="AU1" s="59">
        <f t="shared" si="0"/>
        <v>43</v>
      </c>
      <c r="AV1" s="59">
        <f t="shared" si="0"/>
        <v>44</v>
      </c>
      <c r="AW1" s="59">
        <f t="shared" si="0"/>
        <v>45</v>
      </c>
      <c r="AX1" s="59">
        <f t="shared" si="0"/>
        <v>46</v>
      </c>
      <c r="AY1" s="59">
        <f t="shared" si="0"/>
        <v>47</v>
      </c>
      <c r="AZ1" s="59">
        <f t="shared" si="0"/>
        <v>48</v>
      </c>
      <c r="BA1" s="59">
        <f t="shared" si="0"/>
        <v>49</v>
      </c>
      <c r="BB1" s="59">
        <f t="shared" si="0"/>
        <v>50</v>
      </c>
      <c r="BC1" s="59">
        <f t="shared" si="0"/>
        <v>51</v>
      </c>
      <c r="BD1" s="59">
        <f t="shared" si="0"/>
        <v>52</v>
      </c>
      <c r="BE1" s="59">
        <f t="shared" si="0"/>
        <v>53</v>
      </c>
      <c r="BF1" s="59">
        <f t="shared" si="0"/>
        <v>54</v>
      </c>
      <c r="BG1" s="59">
        <f t="shared" si="0"/>
        <v>55</v>
      </c>
      <c r="BH1" s="59">
        <f t="shared" si="0"/>
        <v>56</v>
      </c>
      <c r="BI1" s="59">
        <f t="shared" si="0"/>
        <v>57</v>
      </c>
      <c r="BJ1" s="59">
        <f t="shared" si="0"/>
        <v>58</v>
      </c>
      <c r="BK1" s="59">
        <f t="shared" si="0"/>
        <v>59</v>
      </c>
      <c r="BL1" s="59">
        <f t="shared" si="0"/>
        <v>60</v>
      </c>
      <c r="BM1" s="59">
        <f t="shared" si="0"/>
        <v>61</v>
      </c>
      <c r="BN1" s="59">
        <f t="shared" si="0"/>
        <v>62</v>
      </c>
      <c r="BO1" s="59">
        <f t="shared" si="0"/>
        <v>63</v>
      </c>
      <c r="BP1" s="59">
        <f t="shared" si="0"/>
        <v>64</v>
      </c>
      <c r="BQ1" s="59">
        <f t="shared" si="0"/>
        <v>65</v>
      </c>
      <c r="BR1" s="59">
        <f aca="true" t="shared" si="1" ref="BR1:DV1">COLUMN()-4</f>
        <v>66</v>
      </c>
      <c r="BS1" s="59">
        <f t="shared" si="1"/>
        <v>67</v>
      </c>
      <c r="BT1" s="59">
        <f t="shared" si="1"/>
        <v>68</v>
      </c>
      <c r="BU1" s="59">
        <f t="shared" si="1"/>
        <v>69</v>
      </c>
      <c r="BV1" s="59">
        <f t="shared" si="1"/>
        <v>70</v>
      </c>
      <c r="BW1" s="59">
        <f t="shared" si="1"/>
        <v>71</v>
      </c>
      <c r="BX1" s="59">
        <f t="shared" si="1"/>
        <v>72</v>
      </c>
      <c r="BY1" s="59">
        <f t="shared" si="1"/>
        <v>73</v>
      </c>
      <c r="BZ1" s="59">
        <f t="shared" si="1"/>
        <v>74</v>
      </c>
      <c r="CA1" s="59">
        <f t="shared" si="1"/>
        <v>75</v>
      </c>
      <c r="CB1" s="59">
        <f t="shared" si="1"/>
        <v>76</v>
      </c>
      <c r="CC1" s="59">
        <f t="shared" si="1"/>
        <v>77</v>
      </c>
      <c r="CD1" s="59">
        <f t="shared" si="1"/>
        <v>78</v>
      </c>
      <c r="CE1" s="59">
        <f t="shared" si="1"/>
        <v>79</v>
      </c>
      <c r="CF1" s="59">
        <f t="shared" si="1"/>
        <v>80</v>
      </c>
      <c r="CG1" s="59">
        <f t="shared" si="1"/>
        <v>81</v>
      </c>
      <c r="CH1" s="59">
        <f t="shared" si="1"/>
        <v>82</v>
      </c>
      <c r="CI1" s="59">
        <f t="shared" si="1"/>
        <v>83</v>
      </c>
      <c r="CJ1" s="59">
        <f t="shared" si="1"/>
        <v>84</v>
      </c>
      <c r="CK1" s="59">
        <f t="shared" si="1"/>
        <v>85</v>
      </c>
      <c r="CL1" s="59">
        <f t="shared" si="1"/>
        <v>86</v>
      </c>
      <c r="CM1" s="59">
        <f t="shared" si="1"/>
        <v>87</v>
      </c>
      <c r="CN1" s="59">
        <f t="shared" si="1"/>
        <v>88</v>
      </c>
      <c r="CO1" s="59">
        <f t="shared" si="1"/>
        <v>89</v>
      </c>
      <c r="CP1" s="59">
        <f t="shared" si="1"/>
        <v>90</v>
      </c>
      <c r="CQ1" s="59">
        <f t="shared" si="1"/>
        <v>91</v>
      </c>
      <c r="CR1" s="59">
        <f t="shared" si="1"/>
        <v>92</v>
      </c>
      <c r="CS1" s="59">
        <f t="shared" si="1"/>
        <v>93</v>
      </c>
      <c r="CT1" s="59">
        <f t="shared" si="1"/>
        <v>94</v>
      </c>
      <c r="CU1" s="59">
        <f t="shared" si="1"/>
        <v>95</v>
      </c>
      <c r="CV1" s="59">
        <f t="shared" si="1"/>
        <v>96</v>
      </c>
      <c r="CW1" s="59">
        <f t="shared" si="1"/>
        <v>97</v>
      </c>
      <c r="CX1" s="59">
        <f t="shared" si="1"/>
        <v>98</v>
      </c>
      <c r="CY1" s="59">
        <f t="shared" si="1"/>
        <v>99</v>
      </c>
      <c r="CZ1" s="59">
        <f t="shared" si="1"/>
        <v>100</v>
      </c>
      <c r="DA1" s="59">
        <f t="shared" si="1"/>
        <v>101</v>
      </c>
      <c r="DB1" s="59">
        <f t="shared" si="1"/>
        <v>102</v>
      </c>
      <c r="DC1" s="59">
        <f t="shared" si="1"/>
        <v>103</v>
      </c>
      <c r="DD1" s="59">
        <f t="shared" si="1"/>
        <v>104</v>
      </c>
      <c r="DE1" s="59">
        <f t="shared" si="1"/>
        <v>105</v>
      </c>
      <c r="DF1" s="59">
        <f t="shared" si="1"/>
        <v>106</v>
      </c>
      <c r="DG1" s="59">
        <f t="shared" si="1"/>
        <v>107</v>
      </c>
      <c r="DH1" s="59">
        <f t="shared" si="1"/>
        <v>108</v>
      </c>
      <c r="DI1" s="59">
        <f t="shared" si="1"/>
        <v>109</v>
      </c>
      <c r="DJ1" s="59">
        <f t="shared" si="1"/>
        <v>110</v>
      </c>
      <c r="DK1" s="59">
        <f t="shared" si="1"/>
        <v>111</v>
      </c>
      <c r="DL1" s="59">
        <f t="shared" si="1"/>
        <v>112</v>
      </c>
      <c r="DM1" s="59">
        <f t="shared" si="1"/>
        <v>113</v>
      </c>
      <c r="DN1" s="59">
        <f t="shared" si="1"/>
        <v>114</v>
      </c>
      <c r="DO1" s="59">
        <f t="shared" si="1"/>
        <v>115</v>
      </c>
      <c r="DP1" s="59">
        <f t="shared" si="1"/>
        <v>116</v>
      </c>
      <c r="DQ1" s="59">
        <f t="shared" si="1"/>
        <v>117</v>
      </c>
      <c r="DR1" s="59">
        <f t="shared" si="1"/>
        <v>118</v>
      </c>
      <c r="DS1" s="59">
        <f t="shared" si="1"/>
        <v>119</v>
      </c>
      <c r="DT1" s="59">
        <f t="shared" si="1"/>
        <v>120</v>
      </c>
      <c r="DU1" s="59">
        <f t="shared" si="1"/>
        <v>121</v>
      </c>
      <c r="DV1" s="59">
        <f t="shared" si="1"/>
        <v>122</v>
      </c>
      <c r="DW1" s="59">
        <f aca="true" t="shared" si="2" ref="DW1:EQ1">COLUMN()-4</f>
        <v>123</v>
      </c>
      <c r="DX1" s="59">
        <f t="shared" si="2"/>
        <v>124</v>
      </c>
      <c r="DY1" s="59">
        <f t="shared" si="2"/>
        <v>125</v>
      </c>
      <c r="DZ1" s="59">
        <f t="shared" si="2"/>
        <v>126</v>
      </c>
      <c r="EA1" s="59">
        <f t="shared" si="2"/>
        <v>127</v>
      </c>
      <c r="EB1" s="59">
        <f t="shared" si="2"/>
        <v>128</v>
      </c>
      <c r="EC1" s="59">
        <f t="shared" si="2"/>
        <v>129</v>
      </c>
      <c r="ED1" s="59">
        <f t="shared" si="2"/>
        <v>130</v>
      </c>
      <c r="EE1" s="59">
        <f t="shared" si="2"/>
        <v>131</v>
      </c>
      <c r="EF1" s="59">
        <f t="shared" si="2"/>
        <v>132</v>
      </c>
      <c r="EG1" s="59">
        <f t="shared" si="2"/>
        <v>133</v>
      </c>
      <c r="EH1" s="59">
        <f t="shared" si="2"/>
        <v>134</v>
      </c>
      <c r="EI1" s="59">
        <f t="shared" si="2"/>
        <v>135</v>
      </c>
      <c r="EJ1" s="59">
        <f t="shared" si="2"/>
        <v>136</v>
      </c>
      <c r="EK1" s="59">
        <f t="shared" si="2"/>
        <v>137</v>
      </c>
      <c r="EL1" s="59">
        <f t="shared" si="2"/>
        <v>138</v>
      </c>
      <c r="EM1" s="59">
        <f t="shared" si="2"/>
        <v>139</v>
      </c>
      <c r="EN1" s="59">
        <f t="shared" si="2"/>
        <v>140</v>
      </c>
      <c r="EO1" s="59">
        <f t="shared" si="2"/>
        <v>141</v>
      </c>
      <c r="EP1" s="59">
        <f t="shared" si="2"/>
        <v>142</v>
      </c>
      <c r="EQ1" s="59">
        <f t="shared" si="2"/>
        <v>143</v>
      </c>
      <c r="ER1" s="59" t="s">
        <v>580</v>
      </c>
      <c r="ES1" s="59" t="s">
        <v>581</v>
      </c>
      <c r="ET1" s="59" t="s">
        <v>582</v>
      </c>
      <c r="EU1" s="59" t="s">
        <v>583</v>
      </c>
      <c r="EV1" s="59" t="s">
        <v>584</v>
      </c>
      <c r="EW1" s="59" t="s">
        <v>585</v>
      </c>
      <c r="EX1" s="59" t="s">
        <v>586</v>
      </c>
      <c r="EY1" s="59" t="s">
        <v>587</v>
      </c>
      <c r="EZ1" s="59" t="s">
        <v>588</v>
      </c>
      <c r="FA1" s="59" t="s">
        <v>589</v>
      </c>
      <c r="FB1" s="59" t="s">
        <v>590</v>
      </c>
      <c r="FC1" s="59" t="s">
        <v>591</v>
      </c>
      <c r="FD1" s="59" t="s">
        <v>592</v>
      </c>
      <c r="FE1" s="59" t="s">
        <v>593</v>
      </c>
      <c r="FF1" s="59" t="s">
        <v>594</v>
      </c>
      <c r="FG1" s="59" t="s">
        <v>595</v>
      </c>
      <c r="FH1" s="59" t="s">
        <v>596</v>
      </c>
      <c r="FI1" s="59" t="s">
        <v>597</v>
      </c>
      <c r="FJ1" s="59" t="s">
        <v>598</v>
      </c>
      <c r="FK1" s="59" t="s">
        <v>599</v>
      </c>
      <c r="FL1" s="59" t="s">
        <v>600</v>
      </c>
      <c r="FM1" s="59" t="s">
        <v>718</v>
      </c>
      <c r="FN1" s="59" t="s">
        <v>601</v>
      </c>
      <c r="FO1" s="59" t="s">
        <v>602</v>
      </c>
      <c r="FP1" s="59" t="s">
        <v>603</v>
      </c>
      <c r="FQ1" s="59" t="s">
        <v>604</v>
      </c>
      <c r="FR1" s="59" t="s">
        <v>605</v>
      </c>
      <c r="FS1" s="59" t="s">
        <v>606</v>
      </c>
      <c r="FT1" s="59" t="s">
        <v>607</v>
      </c>
      <c r="FU1" s="59" t="s">
        <v>608</v>
      </c>
      <c r="FV1" s="59" t="s">
        <v>609</v>
      </c>
      <c r="FW1" s="59" t="s">
        <v>610</v>
      </c>
      <c r="FX1" s="59" t="s">
        <v>611</v>
      </c>
      <c r="FY1" s="59" t="s">
        <v>612</v>
      </c>
      <c r="FZ1" s="59" t="s">
        <v>613</v>
      </c>
      <c r="GA1" s="59" t="s">
        <v>614</v>
      </c>
      <c r="GB1" s="59" t="s">
        <v>615</v>
      </c>
      <c r="GC1" s="59" t="s">
        <v>616</v>
      </c>
      <c r="GD1" s="59" t="s">
        <v>617</v>
      </c>
      <c r="GE1" s="59" t="s">
        <v>618</v>
      </c>
      <c r="GF1" s="59" t="s">
        <v>619</v>
      </c>
      <c r="GG1" s="59" t="s">
        <v>620</v>
      </c>
      <c r="GH1" s="59" t="s">
        <v>621</v>
      </c>
      <c r="GI1" s="59" t="s">
        <v>719</v>
      </c>
      <c r="GJ1" s="59" t="s">
        <v>622</v>
      </c>
      <c r="GK1" s="59" t="s">
        <v>623</v>
      </c>
      <c r="GL1" s="59" t="s">
        <v>624</v>
      </c>
      <c r="GM1" s="59" t="s">
        <v>625</v>
      </c>
      <c r="GN1" s="59" t="s">
        <v>626</v>
      </c>
      <c r="GO1" s="59" t="s">
        <v>627</v>
      </c>
      <c r="GP1" s="59" t="s">
        <v>628</v>
      </c>
      <c r="GQ1" s="59" t="s">
        <v>629</v>
      </c>
      <c r="GR1" s="59" t="s">
        <v>630</v>
      </c>
      <c r="GS1" s="59" t="s">
        <v>631</v>
      </c>
      <c r="GT1" s="59" t="s">
        <v>632</v>
      </c>
      <c r="GU1" s="59" t="s">
        <v>633</v>
      </c>
      <c r="GV1" s="59" t="s">
        <v>634</v>
      </c>
      <c r="GW1" s="59" t="s">
        <v>635</v>
      </c>
      <c r="GX1" s="59" t="s">
        <v>636</v>
      </c>
      <c r="GY1" s="59" t="s">
        <v>637</v>
      </c>
      <c r="GZ1" s="59" t="s">
        <v>638</v>
      </c>
      <c r="HA1" s="59" t="s">
        <v>639</v>
      </c>
      <c r="HB1" s="59" t="s">
        <v>640</v>
      </c>
      <c r="HC1" s="59" t="s">
        <v>641</v>
      </c>
      <c r="HD1" s="59" t="s">
        <v>642</v>
      </c>
      <c r="HE1" s="59" t="s">
        <v>720</v>
      </c>
      <c r="HF1" s="59" t="s">
        <v>643</v>
      </c>
      <c r="HG1" s="59" t="s">
        <v>644</v>
      </c>
      <c r="HH1" s="59" t="s">
        <v>645</v>
      </c>
      <c r="HI1" s="59" t="s">
        <v>646</v>
      </c>
      <c r="HJ1" s="59" t="s">
        <v>647</v>
      </c>
      <c r="HK1" s="59" t="s">
        <v>648</v>
      </c>
      <c r="HL1" s="59" t="s">
        <v>649</v>
      </c>
      <c r="HM1" s="59" t="s">
        <v>650</v>
      </c>
      <c r="HN1" s="59" t="s">
        <v>651</v>
      </c>
      <c r="HO1" s="59" t="s">
        <v>652</v>
      </c>
      <c r="HP1" s="59" t="s">
        <v>653</v>
      </c>
      <c r="HQ1" s="59" t="s">
        <v>654</v>
      </c>
      <c r="HR1" s="59" t="s">
        <v>655</v>
      </c>
      <c r="HS1" s="59" t="s">
        <v>656</v>
      </c>
      <c r="HT1" s="59" t="s">
        <v>657</v>
      </c>
      <c r="HU1" s="59" t="s">
        <v>658</v>
      </c>
      <c r="HV1" s="59" t="s">
        <v>659</v>
      </c>
      <c r="HW1" s="59" t="s">
        <v>660</v>
      </c>
      <c r="HX1" s="59" t="s">
        <v>661</v>
      </c>
      <c r="HY1" s="59" t="s">
        <v>662</v>
      </c>
      <c r="HZ1" s="59" t="s">
        <v>663</v>
      </c>
      <c r="IA1" s="59" t="s">
        <v>721</v>
      </c>
    </row>
    <row r="2" spans="1:236" s="406" customFormat="1" ht="16.5" customHeight="1">
      <c r="A2" s="424" t="s">
        <v>564</v>
      </c>
      <c r="B2" s="425" t="s">
        <v>565</v>
      </c>
      <c r="C2" s="425" t="s">
        <v>579</v>
      </c>
      <c r="D2" s="426"/>
      <c r="E2" s="427" t="s">
        <v>83</v>
      </c>
      <c r="F2" s="428" t="s">
        <v>32</v>
      </c>
      <c r="G2" s="429" t="s">
        <v>72</v>
      </c>
      <c r="H2" s="1432" t="s">
        <v>34</v>
      </c>
      <c r="I2" s="1418"/>
      <c r="J2" s="1433"/>
      <c r="K2" s="429" t="s">
        <v>78</v>
      </c>
      <c r="L2" s="1414" t="s">
        <v>575</v>
      </c>
      <c r="M2" s="1416"/>
      <c r="N2" s="1446" t="s">
        <v>274</v>
      </c>
      <c r="O2" s="1447"/>
      <c r="P2" s="1414" t="s">
        <v>566</v>
      </c>
      <c r="Q2" s="1416"/>
      <c r="R2" s="1455" t="s">
        <v>251</v>
      </c>
      <c r="S2" s="1456"/>
      <c r="T2" s="1456"/>
      <c r="U2" s="1457"/>
      <c r="V2" s="381" t="s">
        <v>577</v>
      </c>
      <c r="W2" s="382" t="s">
        <v>574</v>
      </c>
      <c r="X2" s="1453" t="s">
        <v>252</v>
      </c>
      <c r="Y2" s="1454"/>
      <c r="Z2" s="1448" t="s">
        <v>567</v>
      </c>
      <c r="AA2" s="1449"/>
      <c r="AB2" s="1449"/>
      <c r="AC2" s="1450"/>
      <c r="AD2" s="1434" t="s">
        <v>273</v>
      </c>
      <c r="AE2" s="1435"/>
      <c r="AF2" s="1435"/>
      <c r="AG2" s="1436"/>
      <c r="AH2" s="1451" t="s">
        <v>722</v>
      </c>
      <c r="AI2" s="1438"/>
      <c r="AJ2" s="1438"/>
      <c r="AK2" s="1438"/>
      <c r="AL2" s="1452"/>
      <c r="AM2" s="1437" t="s">
        <v>723</v>
      </c>
      <c r="AN2" s="1438"/>
      <c r="AO2" s="1438"/>
      <c r="AP2" s="1438"/>
      <c r="AQ2" s="1439"/>
      <c r="AR2" s="1437" t="s">
        <v>724</v>
      </c>
      <c r="AS2" s="1438"/>
      <c r="AT2" s="1458" t="s">
        <v>710</v>
      </c>
      <c r="AU2" s="1459"/>
      <c r="AV2" s="1443" t="s">
        <v>514</v>
      </c>
      <c r="AW2" s="1444"/>
      <c r="AX2" s="1445"/>
      <c r="AY2" s="1440" t="s">
        <v>511</v>
      </c>
      <c r="AZ2" s="1441"/>
      <c r="BA2" s="1441"/>
      <c r="BB2" s="1442"/>
      <c r="BC2" s="1414" t="s">
        <v>253</v>
      </c>
      <c r="BD2" s="1415"/>
      <c r="BE2" s="1416"/>
      <c r="BF2" s="1448" t="s">
        <v>254</v>
      </c>
      <c r="BG2" s="1449"/>
      <c r="BH2" s="1450"/>
      <c r="BI2" s="1414" t="s">
        <v>255</v>
      </c>
      <c r="BJ2" s="1415"/>
      <c r="BK2" s="1415"/>
      <c r="BL2" s="1416"/>
      <c r="BM2" s="1437" t="s">
        <v>420</v>
      </c>
      <c r="BN2" s="1438"/>
      <c r="BO2" s="1438"/>
      <c r="BP2" s="1438"/>
      <c r="BQ2" s="1439"/>
      <c r="BR2" s="1417" t="s">
        <v>263</v>
      </c>
      <c r="BS2" s="1418"/>
      <c r="BT2" s="1419"/>
      <c r="BU2" s="1437" t="s">
        <v>260</v>
      </c>
      <c r="BV2" s="1438"/>
      <c r="BW2" s="1438"/>
      <c r="BX2" s="1438"/>
      <c r="BY2" s="1438"/>
      <c r="BZ2" s="1439"/>
      <c r="CA2" s="1417" t="s">
        <v>75</v>
      </c>
      <c r="CB2" s="1418"/>
      <c r="CC2" s="1418"/>
      <c r="CD2" s="1418"/>
      <c r="CE2" s="1419"/>
      <c r="CF2" s="1437" t="s">
        <v>276</v>
      </c>
      <c r="CG2" s="1438"/>
      <c r="CH2" s="1438"/>
      <c r="CI2" s="1438"/>
      <c r="CJ2" s="1438"/>
      <c r="CK2" s="1438"/>
      <c r="CL2" s="1439"/>
      <c r="CM2" s="1417" t="s">
        <v>303</v>
      </c>
      <c r="CN2" s="1418"/>
      <c r="CO2" s="1419"/>
      <c r="CP2" s="1405" t="s">
        <v>714</v>
      </c>
      <c r="CQ2" s="1406"/>
      <c r="CR2" s="1406"/>
      <c r="CS2" s="1406"/>
      <c r="CT2" s="1406"/>
      <c r="CU2" s="1407"/>
      <c r="CV2" s="1427" t="s">
        <v>715</v>
      </c>
      <c r="CW2" s="1406"/>
      <c r="CX2" s="1406"/>
      <c r="CY2" s="1406"/>
      <c r="CZ2" s="1406"/>
      <c r="DA2" s="1428"/>
      <c r="DB2" s="1405" t="s">
        <v>716</v>
      </c>
      <c r="DC2" s="1406"/>
      <c r="DD2" s="1406"/>
      <c r="DE2" s="1406"/>
      <c r="DF2" s="1406"/>
      <c r="DG2" s="1428"/>
      <c r="DH2" s="1405" t="s">
        <v>717</v>
      </c>
      <c r="DI2" s="1406"/>
      <c r="DJ2" s="1406"/>
      <c r="DK2" s="1406"/>
      <c r="DL2" s="1406"/>
      <c r="DM2" s="1407"/>
      <c r="DN2" s="1421" t="s">
        <v>682</v>
      </c>
      <c r="DO2" s="1422"/>
      <c r="DP2" s="1422"/>
      <c r="DQ2" s="1422"/>
      <c r="DR2" s="1422"/>
      <c r="DS2" s="1423"/>
      <c r="DT2" s="1424" t="s">
        <v>346</v>
      </c>
      <c r="DU2" s="1425"/>
      <c r="DV2" s="1425"/>
      <c r="DW2" s="1426"/>
      <c r="DX2" s="1427" t="s">
        <v>347</v>
      </c>
      <c r="DY2" s="1406"/>
      <c r="DZ2" s="1406"/>
      <c r="EA2" s="1428"/>
      <c r="EB2" s="1429" t="s">
        <v>348</v>
      </c>
      <c r="EC2" s="1425"/>
      <c r="ED2" s="1425"/>
      <c r="EE2" s="1426"/>
      <c r="EF2" s="1427" t="s">
        <v>401</v>
      </c>
      <c r="EG2" s="1406"/>
      <c r="EH2" s="1406"/>
      <c r="EI2" s="1428"/>
      <c r="EJ2" s="1429" t="s">
        <v>406</v>
      </c>
      <c r="EK2" s="1425"/>
      <c r="EL2" s="1426"/>
      <c r="EM2" s="1424" t="s">
        <v>827</v>
      </c>
      <c r="EN2" s="1425"/>
      <c r="EO2" s="1425"/>
      <c r="EP2" s="1425"/>
      <c r="EQ2" s="1430" t="s">
        <v>411</v>
      </c>
      <c r="ER2" s="1408" t="s">
        <v>551</v>
      </c>
      <c r="ES2" s="1409"/>
      <c r="ET2" s="1409"/>
      <c r="EU2" s="1409"/>
      <c r="EV2" s="1409"/>
      <c r="EW2" s="1409"/>
      <c r="EX2" s="1409"/>
      <c r="EY2" s="1409"/>
      <c r="EZ2" s="1409"/>
      <c r="FA2" s="1409"/>
      <c r="FB2" s="1409"/>
      <c r="FC2" s="1409"/>
      <c r="FD2" s="1409"/>
      <c r="FE2" s="1409"/>
      <c r="FF2" s="1409"/>
      <c r="FG2" s="1409"/>
      <c r="FH2" s="1409"/>
      <c r="FI2" s="1409"/>
      <c r="FJ2" s="1409"/>
      <c r="FK2" s="1409"/>
      <c r="FL2" s="1409"/>
      <c r="FM2" s="1410"/>
      <c r="FN2" s="1411" t="s">
        <v>554</v>
      </c>
      <c r="FO2" s="1412"/>
      <c r="FP2" s="1412"/>
      <c r="FQ2" s="1412"/>
      <c r="FR2" s="1412"/>
      <c r="FS2" s="1412"/>
      <c r="FT2" s="1412"/>
      <c r="FU2" s="1412"/>
      <c r="FV2" s="1412"/>
      <c r="FW2" s="1412"/>
      <c r="FX2" s="1412"/>
      <c r="FY2" s="1412"/>
      <c r="FZ2" s="1412"/>
      <c r="GA2" s="1412"/>
      <c r="GB2" s="1412"/>
      <c r="GC2" s="1412"/>
      <c r="GD2" s="1412"/>
      <c r="GE2" s="1412"/>
      <c r="GF2" s="1412"/>
      <c r="GG2" s="1412"/>
      <c r="GH2" s="1412"/>
      <c r="GI2" s="1413"/>
      <c r="GJ2" s="1408" t="s">
        <v>553</v>
      </c>
      <c r="GK2" s="1409"/>
      <c r="GL2" s="1409"/>
      <c r="GM2" s="1409"/>
      <c r="GN2" s="1409"/>
      <c r="GO2" s="1409"/>
      <c r="GP2" s="1409"/>
      <c r="GQ2" s="1409"/>
      <c r="GR2" s="1409"/>
      <c r="GS2" s="1409"/>
      <c r="GT2" s="1409"/>
      <c r="GU2" s="1409"/>
      <c r="GV2" s="1409"/>
      <c r="GW2" s="1409"/>
      <c r="GX2" s="1409"/>
      <c r="GY2" s="1409"/>
      <c r="GZ2" s="1409"/>
      <c r="HA2" s="1409"/>
      <c r="HB2" s="1409"/>
      <c r="HC2" s="1409"/>
      <c r="HD2" s="1409"/>
      <c r="HE2" s="1410"/>
      <c r="HF2" s="1411" t="s">
        <v>552</v>
      </c>
      <c r="HG2" s="1412"/>
      <c r="HH2" s="1412"/>
      <c r="HI2" s="1412"/>
      <c r="HJ2" s="1412"/>
      <c r="HK2" s="1412"/>
      <c r="HL2" s="1412"/>
      <c r="HM2" s="1412"/>
      <c r="HN2" s="1412"/>
      <c r="HO2" s="1412"/>
      <c r="HP2" s="1412"/>
      <c r="HQ2" s="1412"/>
      <c r="HR2" s="1412"/>
      <c r="HS2" s="1412"/>
      <c r="HT2" s="1412"/>
      <c r="HU2" s="1412"/>
      <c r="HV2" s="1412"/>
      <c r="HW2" s="1412"/>
      <c r="HX2" s="1412"/>
      <c r="HY2" s="1412"/>
      <c r="HZ2" s="1412"/>
      <c r="IA2" s="1420"/>
      <c r="IB2" s="408" t="s">
        <v>727</v>
      </c>
    </row>
    <row r="3" spans="1:236" s="406" customFormat="1" ht="54">
      <c r="A3" s="385" t="s">
        <v>702</v>
      </c>
      <c r="B3" s="347" t="s">
        <v>702</v>
      </c>
      <c r="C3" s="347" t="s">
        <v>703</v>
      </c>
      <c r="D3" s="384" t="s">
        <v>576</v>
      </c>
      <c r="E3" s="386" t="s">
        <v>704</v>
      </c>
      <c r="F3" s="387" t="s">
        <v>571</v>
      </c>
      <c r="G3" s="388" t="s">
        <v>572</v>
      </c>
      <c r="H3" s="389" t="s">
        <v>35</v>
      </c>
      <c r="I3" s="390" t="s">
        <v>36</v>
      </c>
      <c r="J3" s="358" t="s">
        <v>250</v>
      </c>
      <c r="K3" s="388" t="s">
        <v>573</v>
      </c>
      <c r="L3" s="359" t="s">
        <v>784</v>
      </c>
      <c r="M3" s="358" t="s">
        <v>783</v>
      </c>
      <c r="N3" s="343" t="s">
        <v>784</v>
      </c>
      <c r="O3" s="342" t="s">
        <v>782</v>
      </c>
      <c r="P3" s="359" t="s">
        <v>705</v>
      </c>
      <c r="Q3" s="358" t="s">
        <v>569</v>
      </c>
      <c r="R3" s="389"/>
      <c r="S3" s="390"/>
      <c r="T3" s="390"/>
      <c r="U3" s="358"/>
      <c r="V3" s="361" t="s">
        <v>578</v>
      </c>
      <c r="W3" s="360" t="s">
        <v>785</v>
      </c>
      <c r="X3" s="391" t="s">
        <v>706</v>
      </c>
      <c r="Y3" s="387" t="s">
        <v>781</v>
      </c>
      <c r="Z3" s="345" t="s">
        <v>707</v>
      </c>
      <c r="AA3" s="348" t="s">
        <v>708</v>
      </c>
      <c r="AB3" s="348" t="s">
        <v>568</v>
      </c>
      <c r="AC3" s="344" t="s">
        <v>570</v>
      </c>
      <c r="AD3" s="392" t="s">
        <v>33</v>
      </c>
      <c r="AE3" s="393" t="s">
        <v>30</v>
      </c>
      <c r="AF3" s="393" t="s">
        <v>31</v>
      </c>
      <c r="AG3" s="394" t="s">
        <v>280</v>
      </c>
      <c r="AH3" s="395">
        <v>21</v>
      </c>
      <c r="AI3" s="396">
        <v>22</v>
      </c>
      <c r="AJ3" s="396">
        <v>31</v>
      </c>
      <c r="AK3" s="396">
        <v>32</v>
      </c>
      <c r="AL3" s="397" t="s">
        <v>709</v>
      </c>
      <c r="AM3" s="549">
        <v>21</v>
      </c>
      <c r="AN3" s="396">
        <v>22</v>
      </c>
      <c r="AO3" s="396">
        <v>31</v>
      </c>
      <c r="AP3" s="396">
        <v>32</v>
      </c>
      <c r="AQ3" s="387" t="s">
        <v>709</v>
      </c>
      <c r="AR3" s="549" t="s">
        <v>725</v>
      </c>
      <c r="AS3" s="396" t="s">
        <v>726</v>
      </c>
      <c r="AT3" s="389" t="s">
        <v>788</v>
      </c>
      <c r="AU3" s="400" t="s">
        <v>789</v>
      </c>
      <c r="AV3" s="391" t="s">
        <v>38</v>
      </c>
      <c r="AW3" s="401" t="s">
        <v>74</v>
      </c>
      <c r="AX3" s="387" t="s">
        <v>37</v>
      </c>
      <c r="AY3" s="386" t="s">
        <v>786</v>
      </c>
      <c r="AZ3" s="401" t="s">
        <v>711</v>
      </c>
      <c r="BA3" s="401" t="s">
        <v>787</v>
      </c>
      <c r="BB3" s="397" t="s">
        <v>712</v>
      </c>
      <c r="BC3" s="547" t="s">
        <v>790</v>
      </c>
      <c r="BD3" s="346" t="s">
        <v>701</v>
      </c>
      <c r="BE3" s="358" t="s">
        <v>791</v>
      </c>
      <c r="BF3" s="548" t="s">
        <v>792</v>
      </c>
      <c r="BG3" s="348" t="s">
        <v>793</v>
      </c>
      <c r="BH3" s="344" t="s">
        <v>794</v>
      </c>
      <c r="BI3" s="359" t="s">
        <v>713</v>
      </c>
      <c r="BJ3" s="346" t="s">
        <v>256</v>
      </c>
      <c r="BK3" s="346" t="s">
        <v>257</v>
      </c>
      <c r="BL3" s="358" t="s">
        <v>281</v>
      </c>
      <c r="BM3" s="549">
        <v>21</v>
      </c>
      <c r="BN3" s="396">
        <v>22</v>
      </c>
      <c r="BO3" s="396">
        <v>31</v>
      </c>
      <c r="BP3" s="396">
        <v>32</v>
      </c>
      <c r="BQ3" s="387"/>
      <c r="BR3" s="402" t="s">
        <v>259</v>
      </c>
      <c r="BS3" s="390" t="s">
        <v>262</v>
      </c>
      <c r="BT3" s="403" t="s">
        <v>261</v>
      </c>
      <c r="BU3" s="391" t="s">
        <v>227</v>
      </c>
      <c r="BV3" s="401" t="s">
        <v>258</v>
      </c>
      <c r="BW3" s="401" t="s">
        <v>265</v>
      </c>
      <c r="BX3" s="401" t="s">
        <v>266</v>
      </c>
      <c r="BY3" s="401" t="s">
        <v>267</v>
      </c>
      <c r="BZ3" s="387" t="s">
        <v>268</v>
      </c>
      <c r="CA3" s="402" t="s">
        <v>264</v>
      </c>
      <c r="CB3" s="390" t="s">
        <v>269</v>
      </c>
      <c r="CC3" s="390" t="s">
        <v>270</v>
      </c>
      <c r="CD3" s="390" t="s">
        <v>271</v>
      </c>
      <c r="CE3" s="403" t="s">
        <v>272</v>
      </c>
      <c r="CF3" s="391" t="s">
        <v>275</v>
      </c>
      <c r="CG3" s="404" t="s">
        <v>279</v>
      </c>
      <c r="CH3" s="401" t="s">
        <v>278</v>
      </c>
      <c r="CI3" s="401" t="s">
        <v>277</v>
      </c>
      <c r="CJ3" s="401"/>
      <c r="CK3" s="401" t="s">
        <v>94</v>
      </c>
      <c r="CL3" s="387" t="s">
        <v>95</v>
      </c>
      <c r="CM3" s="402" t="s">
        <v>300</v>
      </c>
      <c r="CN3" s="390" t="s">
        <v>301</v>
      </c>
      <c r="CO3" s="342" t="s">
        <v>302</v>
      </c>
      <c r="CP3" s="405" t="s">
        <v>329</v>
      </c>
      <c r="CQ3" s="406" t="s">
        <v>330</v>
      </c>
      <c r="CR3" s="406" t="s">
        <v>331</v>
      </c>
      <c r="CS3" s="406" t="s">
        <v>332</v>
      </c>
      <c r="CT3" s="406" t="s">
        <v>333</v>
      </c>
      <c r="CU3" s="407" t="s">
        <v>340</v>
      </c>
      <c r="CV3" s="408" t="s">
        <v>329</v>
      </c>
      <c r="CW3" s="406" t="s">
        <v>330</v>
      </c>
      <c r="CX3" s="406" t="s">
        <v>331</v>
      </c>
      <c r="CY3" s="406" t="s">
        <v>332</v>
      </c>
      <c r="CZ3" s="406" t="s">
        <v>333</v>
      </c>
      <c r="DA3" s="409" t="s">
        <v>340</v>
      </c>
      <c r="DB3" s="405" t="s">
        <v>329</v>
      </c>
      <c r="DC3" s="406" t="s">
        <v>330</v>
      </c>
      <c r="DD3" s="406" t="s">
        <v>331</v>
      </c>
      <c r="DE3" s="406" t="s">
        <v>332</v>
      </c>
      <c r="DF3" s="406" t="s">
        <v>333</v>
      </c>
      <c r="DG3" s="409" t="s">
        <v>340</v>
      </c>
      <c r="DH3" s="405" t="s">
        <v>329</v>
      </c>
      <c r="DI3" s="406" t="s">
        <v>330</v>
      </c>
      <c r="DJ3" s="406" t="s">
        <v>331</v>
      </c>
      <c r="DK3" s="406" t="s">
        <v>332</v>
      </c>
      <c r="DL3" s="406" t="s">
        <v>333</v>
      </c>
      <c r="DM3" s="407" t="s">
        <v>340</v>
      </c>
      <c r="DN3" s="466" t="s">
        <v>329</v>
      </c>
      <c r="DO3" s="410" t="s">
        <v>330</v>
      </c>
      <c r="DP3" s="410" t="s">
        <v>331</v>
      </c>
      <c r="DQ3" s="410" t="s">
        <v>332</v>
      </c>
      <c r="DR3" s="410" t="s">
        <v>333</v>
      </c>
      <c r="DS3" s="467" t="s">
        <v>340</v>
      </c>
      <c r="DT3" s="465">
        <v>21</v>
      </c>
      <c r="DU3" s="399">
        <v>22</v>
      </c>
      <c r="DV3" s="399">
        <v>31</v>
      </c>
      <c r="DW3" s="411">
        <v>32</v>
      </c>
      <c r="DX3" s="395">
        <v>21</v>
      </c>
      <c r="DY3" s="396">
        <v>22</v>
      </c>
      <c r="DZ3" s="396">
        <v>31</v>
      </c>
      <c r="EA3" s="412">
        <v>32</v>
      </c>
      <c r="EB3" s="398">
        <v>21</v>
      </c>
      <c r="EC3" s="399">
        <v>22</v>
      </c>
      <c r="ED3" s="399">
        <v>31</v>
      </c>
      <c r="EE3" s="411">
        <v>32</v>
      </c>
      <c r="EF3" s="408" t="s">
        <v>402</v>
      </c>
      <c r="EG3" s="406" t="s">
        <v>403</v>
      </c>
      <c r="EH3" s="406" t="s">
        <v>404</v>
      </c>
      <c r="EI3" s="409" t="s">
        <v>405</v>
      </c>
      <c r="EJ3" s="413" t="s">
        <v>402</v>
      </c>
      <c r="EK3" s="414" t="s">
        <v>403</v>
      </c>
      <c r="EL3" s="415" t="s">
        <v>404</v>
      </c>
      <c r="EM3" s="416" t="s">
        <v>407</v>
      </c>
      <c r="EN3" s="414" t="s">
        <v>408</v>
      </c>
      <c r="EO3" s="414" t="s">
        <v>409</v>
      </c>
      <c r="EP3" s="414" t="s">
        <v>410</v>
      </c>
      <c r="EQ3" s="1431"/>
      <c r="ER3" s="417" t="s">
        <v>11</v>
      </c>
      <c r="ES3" s="418" t="s">
        <v>12</v>
      </c>
      <c r="ET3" s="418" t="s">
        <v>13</v>
      </c>
      <c r="EU3" s="418" t="s">
        <v>49</v>
      </c>
      <c r="EV3" s="418" t="s">
        <v>199</v>
      </c>
      <c r="EW3" s="418" t="s">
        <v>14</v>
      </c>
      <c r="EX3" s="418" t="str">
        <f>IF(COUNTA(#REF!)=0,"기술·가정","")</f>
        <v/>
      </c>
      <c r="EY3" s="418" t="s">
        <v>21</v>
      </c>
      <c r="EZ3" s="418" t="s">
        <v>158</v>
      </c>
      <c r="FA3" s="418" t="s">
        <v>159</v>
      </c>
      <c r="FB3" s="418" t="s">
        <v>160</v>
      </c>
      <c r="FC3" s="418" t="s">
        <v>161</v>
      </c>
      <c r="FD3" s="418" t="s">
        <v>163</v>
      </c>
      <c r="FE3" s="418" t="s">
        <v>162</v>
      </c>
      <c r="FF3" s="418" t="s">
        <v>562</v>
      </c>
      <c r="FG3" s="418" t="s">
        <v>563</v>
      </c>
      <c r="FH3" s="418" t="str">
        <f>입학점수산출표!$B$23</f>
        <v>선택1</v>
      </c>
      <c r="FI3" s="418" t="str">
        <f>입학점수산출표!$B$24</f>
        <v>선택2</v>
      </c>
      <c r="FJ3" s="418" t="str">
        <f>입학점수산출표!$B$25</f>
        <v>선택3</v>
      </c>
      <c r="FK3" s="418" t="str">
        <f>입학점수산출표!$B$26</f>
        <v>선택4</v>
      </c>
      <c r="FL3" s="418" t="str">
        <f>입학점수산출표!$B$27</f>
        <v>선택5</v>
      </c>
      <c r="FM3" s="418" t="str">
        <f>입학점수산출표!$B$28</f>
        <v>선택6</v>
      </c>
      <c r="FN3" s="420" t="s">
        <v>11</v>
      </c>
      <c r="FO3" s="421" t="s">
        <v>12</v>
      </c>
      <c r="FP3" s="421" t="s">
        <v>13</v>
      </c>
      <c r="FQ3" s="421" t="s">
        <v>49</v>
      </c>
      <c r="FR3" s="421" t="s">
        <v>199</v>
      </c>
      <c r="FS3" s="421" t="s">
        <v>14</v>
      </c>
      <c r="FT3" s="421" t="str">
        <f>IF(COUNTA(#REF!)=0,"기술·가정","")</f>
        <v/>
      </c>
      <c r="FU3" s="421" t="s">
        <v>21</v>
      </c>
      <c r="FV3" s="421" t="s">
        <v>158</v>
      </c>
      <c r="FW3" s="421" t="s">
        <v>159</v>
      </c>
      <c r="FX3" s="421" t="s">
        <v>160</v>
      </c>
      <c r="FY3" s="421" t="s">
        <v>161</v>
      </c>
      <c r="FZ3" s="421" t="s">
        <v>163</v>
      </c>
      <c r="GA3" s="421" t="s">
        <v>162</v>
      </c>
      <c r="GB3" s="421" t="s">
        <v>558</v>
      </c>
      <c r="GC3" s="421" t="s">
        <v>560</v>
      </c>
      <c r="GD3" s="421" t="str">
        <f>입학점수산출표!$B$23</f>
        <v>선택1</v>
      </c>
      <c r="GE3" s="421" t="str">
        <f>입학점수산출표!$B$24</f>
        <v>선택2</v>
      </c>
      <c r="GF3" s="421" t="str">
        <f>입학점수산출표!$B$25</f>
        <v>선택3</v>
      </c>
      <c r="GG3" s="421" t="str">
        <f>입학점수산출표!$B$26</f>
        <v>선택4</v>
      </c>
      <c r="GH3" s="421" t="str">
        <f>입학점수산출표!$B$27</f>
        <v>선택5</v>
      </c>
      <c r="GI3" s="422" t="str">
        <f>입학점수산출표!$B$28</f>
        <v>선택6</v>
      </c>
      <c r="GJ3" s="417" t="s">
        <v>11</v>
      </c>
      <c r="GK3" s="418" t="s">
        <v>12</v>
      </c>
      <c r="GL3" s="418" t="s">
        <v>13</v>
      </c>
      <c r="GM3" s="418" t="s">
        <v>49</v>
      </c>
      <c r="GN3" s="418" t="s">
        <v>199</v>
      </c>
      <c r="GO3" s="418" t="s">
        <v>14</v>
      </c>
      <c r="GP3" s="418" t="str">
        <f>IF(COUNTA(#REF!)=0,"기술·가정","")</f>
        <v/>
      </c>
      <c r="GQ3" s="418" t="s">
        <v>21</v>
      </c>
      <c r="GR3" s="418" t="s">
        <v>158</v>
      </c>
      <c r="GS3" s="418" t="s">
        <v>159</v>
      </c>
      <c r="GT3" s="418" t="s">
        <v>160</v>
      </c>
      <c r="GU3" s="418" t="s">
        <v>161</v>
      </c>
      <c r="GV3" s="418" t="s">
        <v>163</v>
      </c>
      <c r="GW3" s="418" t="s">
        <v>162</v>
      </c>
      <c r="GX3" s="418" t="s">
        <v>558</v>
      </c>
      <c r="GY3" s="418" t="s">
        <v>560</v>
      </c>
      <c r="GZ3" s="418" t="str">
        <f>입학점수산출표!$B$23</f>
        <v>선택1</v>
      </c>
      <c r="HA3" s="418" t="str">
        <f>입학점수산출표!$B$24</f>
        <v>선택2</v>
      </c>
      <c r="HB3" s="418" t="str">
        <f>입학점수산출표!$B$25</f>
        <v>선택3</v>
      </c>
      <c r="HC3" s="418" t="str">
        <f>입학점수산출표!$B$26</f>
        <v>선택4</v>
      </c>
      <c r="HD3" s="418" t="str">
        <f>입학점수산출표!$B$27</f>
        <v>선택5</v>
      </c>
      <c r="HE3" s="419" t="str">
        <f>입학점수산출표!$B$28</f>
        <v>선택6</v>
      </c>
      <c r="HF3" s="420" t="s">
        <v>11</v>
      </c>
      <c r="HG3" s="421" t="s">
        <v>12</v>
      </c>
      <c r="HH3" s="421" t="s">
        <v>13</v>
      </c>
      <c r="HI3" s="421" t="s">
        <v>49</v>
      </c>
      <c r="HJ3" s="421" t="s">
        <v>199</v>
      </c>
      <c r="HK3" s="421" t="s">
        <v>14</v>
      </c>
      <c r="HL3" s="421" t="str">
        <f>IF(COUNTA(#REF!)=0,"기술·가정","")</f>
        <v/>
      </c>
      <c r="HM3" s="421" t="s">
        <v>21</v>
      </c>
      <c r="HN3" s="421" t="s">
        <v>158</v>
      </c>
      <c r="HO3" s="421" t="s">
        <v>159</v>
      </c>
      <c r="HP3" s="421" t="s">
        <v>160</v>
      </c>
      <c r="HQ3" s="421" t="s">
        <v>161</v>
      </c>
      <c r="HR3" s="421" t="s">
        <v>163</v>
      </c>
      <c r="HS3" s="421" t="s">
        <v>162</v>
      </c>
      <c r="HT3" s="421" t="s">
        <v>562</v>
      </c>
      <c r="HU3" s="421" t="s">
        <v>563</v>
      </c>
      <c r="HV3" s="421" t="str">
        <f>입학점수산출표!$B$23</f>
        <v>선택1</v>
      </c>
      <c r="HW3" s="421" t="str">
        <f>입학점수산출표!$B$24</f>
        <v>선택2</v>
      </c>
      <c r="HX3" s="421" t="str">
        <f>입학점수산출표!$B$25</f>
        <v>선택3</v>
      </c>
      <c r="HY3" s="421" t="str">
        <f>입학점수산출표!$B$26</f>
        <v>선택4</v>
      </c>
      <c r="HZ3" s="421" t="str">
        <f>입학점수산출표!$B$27</f>
        <v>선택5</v>
      </c>
      <c r="IA3" s="423" t="str">
        <f>입학점수산출표!$B$28</f>
        <v>선택6</v>
      </c>
      <c r="IB3" s="408" t="s">
        <v>665</v>
      </c>
    </row>
    <row r="4" spans="1:236" s="188" customFormat="1" ht="15">
      <c r="A4" s="521"/>
      <c r="B4" s="522"/>
      <c r="C4" s="522"/>
      <c r="D4" s="523"/>
      <c r="E4" s="524" t="str">
        <f>접수번호</f>
        <v>※</v>
      </c>
      <c r="F4" s="525">
        <f>학생성명</f>
        <v>0</v>
      </c>
      <c r="G4" s="526" t="str">
        <f>학력선택</f>
        <v>졸업예정</v>
      </c>
      <c r="H4" s="527" t="str">
        <f>IF(전형구분선택="일반전형",전형구분선택,"")</f>
        <v/>
      </c>
      <c r="I4" s="189" t="str">
        <f>IF(전형구분선택&lt;&gt;"일반전형",전형구분선택,"")</f>
        <v>특별전형</v>
      </c>
      <c r="J4" s="372" t="str">
        <f>IF(전형구분선택="특별전형",특별전형유형선택&amp;"_"&amp;특별전형구분선택,IF(전형구분선택="특례입학전형",특례입학유형선택,""))</f>
        <v>_</v>
      </c>
      <c r="K4" s="526" t="str">
        <f ca="1">IF(확인_울산지역=TRUE,"울산지역","타지역")</f>
        <v>타지역</v>
      </c>
      <c r="L4" s="528" t="str">
        <f>입학전형총점_일반</f>
        <v>.</v>
      </c>
      <c r="M4" s="529" t="str">
        <f>IF(전형구분선택="일반전형","",입학전형총점_특별)</f>
        <v>.</v>
      </c>
      <c r="N4" s="530"/>
      <c r="O4" s="531"/>
      <c r="P4" s="528"/>
      <c r="Q4" s="529"/>
      <c r="R4" s="532"/>
      <c r="S4" s="533"/>
      <c r="T4" s="533"/>
      <c r="U4" s="529"/>
      <c r="V4" s="530"/>
      <c r="W4" s="531"/>
      <c r="X4" s="532"/>
      <c r="Y4" s="525"/>
      <c r="Z4" s="534"/>
      <c r="AA4" s="533"/>
      <c r="AB4" s="533"/>
      <c r="AC4" s="535"/>
      <c r="AD4" s="363" t="str">
        <f>제1지망학과</f>
        <v/>
      </c>
      <c r="AE4" s="188" t="str">
        <f>제2지망학과</f>
        <v/>
      </c>
      <c r="AF4" s="188" t="str">
        <f>제3지망학과</f>
        <v/>
      </c>
      <c r="AG4" s="364" t="str">
        <f>IF(지망학과_오류검증,"정상","오류발생")</f>
        <v>오류발생</v>
      </c>
      <c r="AH4" s="640">
        <f>성취도점수_21</f>
        <v>0</v>
      </c>
      <c r="AI4" s="537">
        <f>성취도점수_22</f>
        <v>0</v>
      </c>
      <c r="AJ4" s="537">
        <f>성취도점수_31</f>
        <v>0</v>
      </c>
      <c r="AK4" s="537">
        <f>성취도점수_32</f>
        <v>0</v>
      </c>
      <c r="AL4" s="370">
        <f>IF(COUNT(AH4:AK4)&gt;=1,성취도점수_합계,"")</f>
        <v>0</v>
      </c>
      <c r="AM4" s="638">
        <f>교과목수_21</f>
        <v>0</v>
      </c>
      <c r="AN4" s="537">
        <f>교과목수_22</f>
        <v>0</v>
      </c>
      <c r="AO4" s="537">
        <f>교과목수_31</f>
        <v>0</v>
      </c>
      <c r="AP4" s="537">
        <f>교과목수_32</f>
        <v>0</v>
      </c>
      <c r="AQ4" s="639">
        <f>IF(COUNT(AM4:AP4)&gt;=1,교과목수_합계,"")</f>
        <v>0</v>
      </c>
      <c r="AR4" s="528" t="str">
        <f>평균_성취도점수</f>
        <v/>
      </c>
      <c r="AS4" s="545" t="str">
        <f>전과목_평균성취율</f>
        <v/>
      </c>
      <c r="AT4" s="528" t="str">
        <f>교과점수_일반_합계</f>
        <v>.</v>
      </c>
      <c r="AU4" s="529" t="str">
        <f>교과점수_특별_합계</f>
        <v>.</v>
      </c>
      <c r="AV4" s="544" t="str">
        <f ca="1">IF(학력선택="검정고시합격","",INDIRECT($AV$2&amp;AV3))</f>
        <v/>
      </c>
      <c r="AW4" s="545" t="str">
        <f ca="1">IF(학력선택="검정고시합격","",INDIRECT($AV$2&amp;AW3))</f>
        <v/>
      </c>
      <c r="AX4" s="546" t="str">
        <f ca="1">IF(학력선택="검정고시합격","",INDIRECT($AV$2&amp;AX3))</f>
        <v/>
      </c>
      <c r="AY4" s="530" t="str">
        <f ca="1">INDIRECT($AY$2&amp;"수학")</f>
        <v>.</v>
      </c>
      <c r="AZ4" s="536" t="str">
        <f ca="1">INDIRECT($AY$2&amp;"기가")</f>
        <v>.</v>
      </c>
      <c r="BA4" s="536" t="str">
        <f ca="1">INDIRECT($AY$2&amp;"영어")</f>
        <v>.</v>
      </c>
      <c r="BB4" s="531" t="str">
        <f ca="1">INDIRECT($AY$2&amp;"합계")</f>
        <v>.</v>
      </c>
      <c r="BC4" s="528" t="str">
        <f>교과학습발달상황점수_일반</f>
        <v>.</v>
      </c>
      <c r="BD4" s="536">
        <f>출결점수_일반전형</f>
        <v>60</v>
      </c>
      <c r="BE4" s="529">
        <f>봉사활동점수</f>
        <v>20</v>
      </c>
      <c r="BF4" s="530" t="str">
        <f>교과학습발달상황점수_특별</f>
        <v>.</v>
      </c>
      <c r="BG4" s="536">
        <f>출결점수_특별전형</f>
        <v>120</v>
      </c>
      <c r="BH4" s="531">
        <f>봉사활동점수</f>
        <v>20</v>
      </c>
      <c r="BI4" s="528" t="str">
        <f>IF(학력선택="검정고시합격",검정고시_응시교육청,"")</f>
        <v/>
      </c>
      <c r="BJ4" s="537" t="str">
        <f>IF(학력선택="검정고시합격",검정고시합격년도,"")</f>
        <v/>
      </c>
      <c r="BK4" s="536" t="str">
        <f>IF(학력선택="검정고시합격",검정고시합격점수,"")</f>
        <v/>
      </c>
      <c r="BL4" s="529" t="str">
        <f>IF(학력선택="검정고시합격",검정고시_석차백분율,"")</f>
        <v/>
      </c>
      <c r="BM4" s="528" t="b">
        <f>성적유무_21</f>
        <v>1</v>
      </c>
      <c r="BN4" s="536" t="b">
        <f>성적유무_22</f>
        <v>1</v>
      </c>
      <c r="BO4" s="536" t="b">
        <f>성적유무_31</f>
        <v>1</v>
      </c>
      <c r="BP4" s="536" t="b">
        <f>성적유무_32</f>
        <v>0</v>
      </c>
      <c r="BQ4" s="529"/>
      <c r="BR4" s="538">
        <f>보호자전화번호</f>
        <v>0</v>
      </c>
      <c r="BS4" s="188">
        <f>보호자관계</f>
        <v>0</v>
      </c>
      <c r="BT4" s="370">
        <f>보호자성명</f>
        <v>0</v>
      </c>
      <c r="BU4" s="539">
        <f>학생생년월일</f>
        <v>0</v>
      </c>
      <c r="BV4" s="188">
        <f>학생전화번호</f>
        <v>0</v>
      </c>
      <c r="BW4" s="540">
        <f>IF(학력선택="검정고시합격","",학력취득일)</f>
        <v>0</v>
      </c>
      <c r="BX4" s="188">
        <f>IF(학력선택="검정고시합격","",삼학년_반)</f>
        <v>0</v>
      </c>
      <c r="BY4" s="188">
        <f>IF(학력선택="검정고시합격","",삼학년_번호)</f>
        <v>0</v>
      </c>
      <c r="BZ4" s="541">
        <f>원서작성일자</f>
        <v>0</v>
      </c>
      <c r="CA4" s="538">
        <f>학생우편번호</f>
        <v>0</v>
      </c>
      <c r="CB4" s="188">
        <f>학생광역시도</f>
        <v>0</v>
      </c>
      <c r="CC4" s="188">
        <f>학생시군구</f>
        <v>0</v>
      </c>
      <c r="CD4" s="188">
        <f>학생읍면동</f>
        <v>0</v>
      </c>
      <c r="CE4" s="371">
        <f>학생상세주소</f>
        <v>0</v>
      </c>
      <c r="CF4" s="527">
        <f>IF(학력선택="검정고시합격","",출신학교명)</f>
        <v>0</v>
      </c>
      <c r="CG4" s="189" t="str">
        <f>IF(학력선택="검정고시합격","",IF(학교광역시도="울산광역시",확인_울산지역_울산학교이름,""))</f>
        <v/>
      </c>
      <c r="CH4" s="189">
        <f>IF(학력선택="검정고시합격","",학교광역시도)</f>
        <v>0</v>
      </c>
      <c r="CI4" s="189">
        <f>IF(학력선택="검정고시합격","",학교시군구)</f>
        <v>0</v>
      </c>
      <c r="CJ4" s="189"/>
      <c r="CK4" s="189">
        <f>IF(학력선택="검정고시합격","",학교전화번호)</f>
        <v>0</v>
      </c>
      <c r="CL4" s="372">
        <f>IF(학력선택="검정고시합격","",학교팩스번호)</f>
        <v>0</v>
      </c>
      <c r="CM4" s="542" t="str">
        <f>IF(전형구분선택="특별전형",특별전형유형선택,"")</f>
        <v/>
      </c>
      <c r="CN4" s="189" t="str">
        <f>IF(전형구분선택="특별전형",특별전형구분선택,"")</f>
        <v/>
      </c>
      <c r="CO4" s="543" t="str">
        <f>IF(전형구분선택="특례입학전형",특례입학유형선택,"")</f>
        <v/>
      </c>
      <c r="CP4" s="363">
        <f ca="1">_xlfn.IFERROR(INDIRECT($CP$2&amp;CP3),"")</f>
        <v>0</v>
      </c>
      <c r="CQ4" s="188">
        <f aca="true" t="shared" si="3" ref="CQ4:CT4">_xlfn.IFERROR(INDIRECT($CP$2&amp;CQ3),"")</f>
        <v>0</v>
      </c>
      <c r="CR4" s="188">
        <f ca="1" t="shared" si="3"/>
        <v>0</v>
      </c>
      <c r="CS4" s="188">
        <f ca="1" t="shared" si="3"/>
        <v>0</v>
      </c>
      <c r="CT4" s="188">
        <f ca="1" t="shared" si="3"/>
        <v>0</v>
      </c>
      <c r="CU4" s="364">
        <f ca="1">SUM(CP4:CT4)</f>
        <v>0</v>
      </c>
      <c r="CV4" s="538">
        <f ca="1">_xlfn.IFERROR(INDIRECT($CV$2&amp;CV3),"")</f>
        <v>0</v>
      </c>
      <c r="CW4" s="188">
        <f aca="true" t="shared" si="4" ref="CW4:CZ4">_xlfn.IFERROR(INDIRECT($CV$2&amp;CW3),"")</f>
        <v>0</v>
      </c>
      <c r="CX4" s="188">
        <f ca="1" t="shared" si="4"/>
        <v>0</v>
      </c>
      <c r="CY4" s="188">
        <f ca="1" t="shared" si="4"/>
        <v>0</v>
      </c>
      <c r="CZ4" s="188">
        <f ca="1" t="shared" si="4"/>
        <v>0</v>
      </c>
      <c r="DA4" s="371">
        <f ca="1">SUM(CV4:CZ4)</f>
        <v>0</v>
      </c>
      <c r="DB4" s="363">
        <f ca="1">_xlfn.IFERROR(INDIRECT($DB$2&amp;DB3),"")</f>
        <v>0</v>
      </c>
      <c r="DC4" s="188">
        <f aca="true" t="shared" si="5" ref="DC4:DF4">_xlfn.IFERROR(INDIRECT($DB$2&amp;DC3),"")</f>
        <v>0</v>
      </c>
      <c r="DD4" s="188">
        <f ca="1" t="shared" si="5"/>
        <v>0</v>
      </c>
      <c r="DE4" s="188">
        <f ca="1" t="shared" si="5"/>
        <v>0</v>
      </c>
      <c r="DF4" s="188">
        <f ca="1" t="shared" si="5"/>
        <v>0</v>
      </c>
      <c r="DG4" s="371">
        <f ca="1">SUM(DB4:DF4)</f>
        <v>0</v>
      </c>
      <c r="DH4" s="363" t="str">
        <f ca="1">_xlfn.IFERROR(INDIRECT($DH$2&amp;DH3),"")</f>
        <v/>
      </c>
      <c r="DI4" s="188" t="str">
        <f aca="true" t="shared" si="6" ref="DI4:DL4">_xlfn.IFERROR(INDIRECT($DH$2&amp;DI3),"")</f>
        <v/>
      </c>
      <c r="DJ4" s="188" t="str">
        <f ca="1" t="shared" si="6"/>
        <v/>
      </c>
      <c r="DK4" s="188" t="str">
        <f ca="1" t="shared" si="6"/>
        <v/>
      </c>
      <c r="DL4" s="188" t="str">
        <f ca="1" t="shared" si="6"/>
        <v/>
      </c>
      <c r="DM4" s="364">
        <f ca="1">SUM(DH4:DL4)</f>
        <v>0</v>
      </c>
      <c r="DN4" s="363">
        <f ca="1">INDIRECT("성취도갯수_합계_"&amp;DN$3)</f>
        <v>0</v>
      </c>
      <c r="DO4" s="188">
        <f t="shared" si="7" ref="DO4:DS4">INDIRECT("성취도갯수_합계_"&amp;DO$3)</f>
        <v>0</v>
      </c>
      <c r="DP4" s="188">
        <f ca="1" t="shared" si="7"/>
        <v>0</v>
      </c>
      <c r="DQ4" s="188">
        <f ca="1" t="shared" si="7"/>
        <v>0</v>
      </c>
      <c r="DR4" s="188">
        <f ca="1" t="shared" si="7"/>
        <v>0</v>
      </c>
      <c r="DS4" s="364">
        <f ca="1" t="shared" si="7"/>
        <v>0</v>
      </c>
      <c r="DT4" s="538">
        <f ca="1">INDIRECT($DT$2&amp;"_"&amp;DT$3)</f>
        <v>0</v>
      </c>
      <c r="DU4" s="188">
        <f t="shared" si="8" ref="DU4:DW4">INDIRECT($DT$2&amp;"_"&amp;DU$3)</f>
        <v>0</v>
      </c>
      <c r="DV4" s="188">
        <f ca="1" t="shared" si="8"/>
        <v>0</v>
      </c>
      <c r="DW4" s="364" t="str">
        <f ca="1" t="shared" si="8"/>
        <v/>
      </c>
      <c r="DX4" s="538">
        <f ca="1">INDIRECT($DX$2&amp;"_"&amp;DX$3)</f>
        <v>0</v>
      </c>
      <c r="DY4" s="188">
        <f t="shared" si="9" ref="DY4:EA4">INDIRECT($DX$2&amp;"_"&amp;DY$3)</f>
        <v>0</v>
      </c>
      <c r="DZ4" s="188">
        <f ca="1" t="shared" si="9"/>
        <v>0</v>
      </c>
      <c r="EA4" s="371" t="str">
        <f ca="1" t="shared" si="9"/>
        <v/>
      </c>
      <c r="EB4" s="363">
        <f ca="1">INDIRECT($EB$2&amp;"_"&amp;EB$3)</f>
        <v>0</v>
      </c>
      <c r="EC4" s="188">
        <f t="shared" si="10" ref="EC4:EE4">INDIRECT($EB$2&amp;"_"&amp;EC$3)</f>
        <v>0</v>
      </c>
      <c r="ED4" s="188">
        <f ca="1" t="shared" si="10"/>
        <v>0</v>
      </c>
      <c r="EE4" s="364" t="str">
        <f ca="1" t="shared" si="10"/>
        <v/>
      </c>
      <c r="EF4" s="538">
        <f>봉사활동입력_1학년</f>
        <v>0</v>
      </c>
      <c r="EG4" s="188">
        <f>봉사활동입력_2학년</f>
        <v>0</v>
      </c>
      <c r="EH4" s="188">
        <f>봉사활동입력_3학년</f>
        <v>0</v>
      </c>
      <c r="EI4" s="371">
        <f>봉사활동입력_합계</f>
        <v>0</v>
      </c>
      <c r="EJ4" s="363">
        <f>수업일수_1학년</f>
        <v>190</v>
      </c>
      <c r="EK4" s="188">
        <f>수업일수_2학년</f>
        <v>190</v>
      </c>
      <c r="EL4" s="364">
        <f>수업일수_3학년</f>
        <v>113</v>
      </c>
      <c r="EM4" s="538">
        <f>미인정_결석</f>
        <v>0</v>
      </c>
      <c r="EN4" s="188">
        <f>미인정_지각</f>
        <v>0</v>
      </c>
      <c r="EO4" s="188">
        <f>미인정_조퇴</f>
        <v>0</v>
      </c>
      <c r="EP4" s="188">
        <f>미인정_결과</f>
        <v>0</v>
      </c>
      <c r="EQ4" s="371">
        <f>환산결석일수</f>
        <v>0</v>
      </c>
      <c r="ER4" s="363">
        <f aca="true" t="shared" si="11" ref="ER4:FM4">IF(성적유무_21=FALSE,"",INDIRECT("입학점수산출표!"&amp;ER1))</f>
        <v>0</v>
      </c>
      <c r="ES4" s="188">
        <f ca="1" t="shared" si="11"/>
        <v>0</v>
      </c>
      <c r="ET4" s="188">
        <f ca="1" t="shared" si="11"/>
        <v>0</v>
      </c>
      <c r="EU4" s="188">
        <f ca="1" t="shared" si="11"/>
        <v>0</v>
      </c>
      <c r="EV4" s="188">
        <f ca="1" t="shared" si="11"/>
        <v>0</v>
      </c>
      <c r="EW4" s="188">
        <f ca="1" t="shared" si="11"/>
        <v>0</v>
      </c>
      <c r="EX4" s="188">
        <f ca="1" t="shared" si="11"/>
        <v>0</v>
      </c>
      <c r="EY4" s="188">
        <f ca="1" t="shared" si="11"/>
        <v>0</v>
      </c>
      <c r="EZ4" s="188">
        <f ca="1" t="shared" si="11"/>
        <v>0</v>
      </c>
      <c r="FA4" s="188">
        <f ca="1" t="shared" si="11"/>
        <v>0</v>
      </c>
      <c r="FB4" s="188">
        <f ca="1" t="shared" si="11"/>
        <v>0</v>
      </c>
      <c r="FC4" s="188">
        <f ca="1" t="shared" si="11"/>
        <v>0</v>
      </c>
      <c r="FD4" s="188">
        <f ca="1" t="shared" si="11"/>
        <v>0</v>
      </c>
      <c r="FE4" s="188">
        <f ca="1" t="shared" si="11"/>
        <v>0</v>
      </c>
      <c r="FF4" s="188">
        <f ca="1" t="shared" si="11"/>
        <v>0</v>
      </c>
      <c r="FG4" s="188">
        <f ca="1" t="shared" si="11"/>
        <v>0</v>
      </c>
      <c r="FH4" s="188">
        <f ca="1" t="shared" si="11"/>
        <v>0</v>
      </c>
      <c r="FI4" s="188">
        <f ca="1" t="shared" si="11"/>
        <v>0</v>
      </c>
      <c r="FJ4" s="188">
        <f ca="1" t="shared" si="11"/>
        <v>0</v>
      </c>
      <c r="FK4" s="188">
        <f ca="1" t="shared" si="11"/>
        <v>0</v>
      </c>
      <c r="FL4" s="188">
        <f ca="1" t="shared" si="11"/>
        <v>0</v>
      </c>
      <c r="FM4" s="364">
        <f ca="1" t="shared" si="11"/>
        <v>0</v>
      </c>
      <c r="FN4" s="538">
        <f aca="true" t="shared" si="12" ref="FN4:GI4">IF(성적유무_22=FALSE,"",INDIRECT("입학점수산출표!"&amp;FN1))</f>
        <v>0</v>
      </c>
      <c r="FO4" s="188">
        <f ca="1" t="shared" si="12"/>
        <v>0</v>
      </c>
      <c r="FP4" s="188">
        <f ca="1" t="shared" si="12"/>
        <v>0</v>
      </c>
      <c r="FQ4" s="188">
        <f ca="1" t="shared" si="12"/>
        <v>0</v>
      </c>
      <c r="FR4" s="188">
        <f ca="1" t="shared" si="12"/>
        <v>0</v>
      </c>
      <c r="FS4" s="188">
        <f ca="1" t="shared" si="12"/>
        <v>0</v>
      </c>
      <c r="FT4" s="188">
        <f ca="1" t="shared" si="12"/>
        <v>0</v>
      </c>
      <c r="FU4" s="188">
        <f ca="1" t="shared" si="12"/>
        <v>0</v>
      </c>
      <c r="FV4" s="188">
        <f ca="1" t="shared" si="12"/>
        <v>0</v>
      </c>
      <c r="FW4" s="188">
        <f ca="1" t="shared" si="12"/>
        <v>0</v>
      </c>
      <c r="FX4" s="188">
        <f ca="1" t="shared" si="12"/>
        <v>0</v>
      </c>
      <c r="FY4" s="188">
        <f ca="1" t="shared" si="12"/>
        <v>0</v>
      </c>
      <c r="FZ4" s="188">
        <f ca="1" t="shared" si="12"/>
        <v>0</v>
      </c>
      <c r="GA4" s="188">
        <f ca="1" t="shared" si="12"/>
        <v>0</v>
      </c>
      <c r="GB4" s="188">
        <f ca="1" t="shared" si="12"/>
        <v>0</v>
      </c>
      <c r="GC4" s="188">
        <f ca="1" t="shared" si="12"/>
        <v>0</v>
      </c>
      <c r="GD4" s="188">
        <f ca="1" t="shared" si="12"/>
        <v>0</v>
      </c>
      <c r="GE4" s="188">
        <f ca="1" t="shared" si="12"/>
        <v>0</v>
      </c>
      <c r="GF4" s="188">
        <f ca="1" t="shared" si="12"/>
        <v>0</v>
      </c>
      <c r="GG4" s="188">
        <f ca="1" t="shared" si="12"/>
        <v>0</v>
      </c>
      <c r="GH4" s="188">
        <f ca="1" t="shared" si="12"/>
        <v>0</v>
      </c>
      <c r="GI4" s="371">
        <f ca="1" t="shared" si="12"/>
        <v>0</v>
      </c>
      <c r="GJ4" s="363">
        <f aca="true" t="shared" si="13" ref="GJ4:HE4">IF(성적유무_31=FALSE,"",INDIRECT("입학점수산출표!"&amp;GJ1))</f>
        <v>0</v>
      </c>
      <c r="GK4" s="188">
        <f ca="1" t="shared" si="13"/>
        <v>0</v>
      </c>
      <c r="GL4" s="188">
        <f ca="1" t="shared" si="13"/>
        <v>0</v>
      </c>
      <c r="GM4" s="188">
        <f ca="1" t="shared" si="13"/>
        <v>0</v>
      </c>
      <c r="GN4" s="188">
        <f ca="1" t="shared" si="13"/>
        <v>0</v>
      </c>
      <c r="GO4" s="188">
        <f ca="1" t="shared" si="13"/>
        <v>0</v>
      </c>
      <c r="GP4" s="188">
        <f ca="1" t="shared" si="13"/>
        <v>0</v>
      </c>
      <c r="GQ4" s="188">
        <f ca="1" t="shared" si="13"/>
        <v>0</v>
      </c>
      <c r="GR4" s="188">
        <f ca="1" t="shared" si="13"/>
        <v>0</v>
      </c>
      <c r="GS4" s="188">
        <f ca="1" t="shared" si="13"/>
        <v>0</v>
      </c>
      <c r="GT4" s="188">
        <f ca="1" t="shared" si="13"/>
        <v>0</v>
      </c>
      <c r="GU4" s="188">
        <f ca="1" t="shared" si="13"/>
        <v>0</v>
      </c>
      <c r="GV4" s="188">
        <f ca="1" t="shared" si="13"/>
        <v>0</v>
      </c>
      <c r="GW4" s="188">
        <f ca="1" t="shared" si="13"/>
        <v>0</v>
      </c>
      <c r="GX4" s="188">
        <f ca="1" t="shared" si="13"/>
        <v>0</v>
      </c>
      <c r="GY4" s="188">
        <f ca="1" t="shared" si="13"/>
        <v>0</v>
      </c>
      <c r="GZ4" s="188">
        <f ca="1" t="shared" si="13"/>
        <v>0</v>
      </c>
      <c r="HA4" s="188">
        <f ca="1" t="shared" si="13"/>
        <v>0</v>
      </c>
      <c r="HB4" s="188">
        <f ca="1" t="shared" si="13"/>
        <v>0</v>
      </c>
      <c r="HC4" s="188">
        <f ca="1" t="shared" si="13"/>
        <v>0</v>
      </c>
      <c r="HD4" s="188">
        <f ca="1" t="shared" si="13"/>
        <v>0</v>
      </c>
      <c r="HE4" s="364">
        <f ca="1" t="shared" si="13"/>
        <v>0</v>
      </c>
      <c r="HF4" s="538" t="str">
        <f aca="true" t="shared" si="14" ref="HF4:IA4">IF(성적유무_32=FALSE,"",INDIRECT("입학점수산출표!"&amp;HF1))</f>
        <v/>
      </c>
      <c r="HG4" s="188" t="str">
        <f ca="1" t="shared" si="14"/>
        <v/>
      </c>
      <c r="HH4" s="188" t="str">
        <f ca="1" t="shared" si="14"/>
        <v/>
      </c>
      <c r="HI4" s="188" t="str">
        <f ca="1" t="shared" si="14"/>
        <v/>
      </c>
      <c r="HJ4" s="188" t="str">
        <f ca="1" t="shared" si="14"/>
        <v/>
      </c>
      <c r="HK4" s="188" t="str">
        <f ca="1" t="shared" si="14"/>
        <v/>
      </c>
      <c r="HL4" s="188" t="str">
        <f ca="1" t="shared" si="14"/>
        <v/>
      </c>
      <c r="HM4" s="188" t="str">
        <f ca="1" t="shared" si="14"/>
        <v/>
      </c>
      <c r="HN4" s="188" t="str">
        <f ca="1" t="shared" si="14"/>
        <v/>
      </c>
      <c r="HO4" s="188" t="str">
        <f ca="1" t="shared" si="14"/>
        <v/>
      </c>
      <c r="HP4" s="188" t="str">
        <f ca="1" t="shared" si="14"/>
        <v/>
      </c>
      <c r="HQ4" s="188" t="str">
        <f ca="1" t="shared" si="14"/>
        <v/>
      </c>
      <c r="HR4" s="188" t="str">
        <f ca="1" t="shared" si="14"/>
        <v/>
      </c>
      <c r="HS4" s="188" t="str">
        <f ca="1" t="shared" si="14"/>
        <v/>
      </c>
      <c r="HT4" s="188" t="str">
        <f ca="1" t="shared" si="14"/>
        <v/>
      </c>
      <c r="HU4" s="188" t="str">
        <f ca="1" t="shared" si="14"/>
        <v/>
      </c>
      <c r="HV4" s="188" t="str">
        <f ca="1" t="shared" si="14"/>
        <v/>
      </c>
      <c r="HW4" s="188" t="str">
        <f ca="1" t="shared" si="14"/>
        <v/>
      </c>
      <c r="HX4" s="188" t="str">
        <f ca="1" t="shared" si="14"/>
        <v/>
      </c>
      <c r="HY4" s="188" t="str">
        <f ca="1" t="shared" si="14"/>
        <v/>
      </c>
      <c r="HZ4" s="188" t="str">
        <f ca="1" t="shared" si="14"/>
        <v/>
      </c>
      <c r="IA4" s="364" t="str">
        <f ca="1" t="shared" si="14"/>
        <v/>
      </c>
      <c r="IB4" s="538" t="str">
        <f>Version</f>
        <v>Ver: 2019.09.16.</v>
      </c>
    </row>
    <row r="5" spans="1:235" s="339" customFormat="1" ht="17.25" thickBot="1">
      <c r="A5" s="373"/>
      <c r="B5" s="374"/>
      <c r="C5" s="374"/>
      <c r="D5" s="375"/>
      <c r="E5" s="357"/>
      <c r="F5" s="354"/>
      <c r="G5" s="356"/>
      <c r="H5" s="349"/>
      <c r="I5" s="350"/>
      <c r="J5" s="354"/>
      <c r="K5" s="356"/>
      <c r="L5" s="349"/>
      <c r="M5" s="354"/>
      <c r="N5" s="357"/>
      <c r="O5" s="355"/>
      <c r="P5" s="349"/>
      <c r="Q5" s="354"/>
      <c r="R5" s="349"/>
      <c r="S5" s="350"/>
      <c r="T5" s="350"/>
      <c r="U5" s="354"/>
      <c r="V5" s="357"/>
      <c r="W5" s="355"/>
      <c r="X5" s="349"/>
      <c r="Y5" s="354"/>
      <c r="Z5" s="357"/>
      <c r="AA5" s="350"/>
      <c r="AB5" s="350"/>
      <c r="AC5" s="355"/>
      <c r="AD5" s="365"/>
      <c r="AE5" s="351"/>
      <c r="AF5" s="351"/>
      <c r="AG5" s="366"/>
      <c r="AH5" s="362"/>
      <c r="AI5" s="352"/>
      <c r="AJ5" s="352"/>
      <c r="AK5" s="352"/>
      <c r="AL5" s="367"/>
      <c r="AM5" s="368"/>
      <c r="AN5" s="352"/>
      <c r="AO5" s="352"/>
      <c r="AP5" s="352"/>
      <c r="AQ5" s="369"/>
      <c r="AR5" s="368"/>
      <c r="AS5" s="352"/>
      <c r="AT5" s="349"/>
      <c r="AU5" s="354"/>
      <c r="AV5" s="368"/>
      <c r="AW5" s="352"/>
      <c r="AX5" s="369"/>
      <c r="AY5" s="362"/>
      <c r="AZ5" s="352"/>
      <c r="BA5" s="352"/>
      <c r="BB5" s="367"/>
      <c r="BC5" s="349"/>
      <c r="BD5" s="350"/>
      <c r="BE5" s="354"/>
      <c r="BF5" s="357"/>
      <c r="BG5" s="350"/>
      <c r="BH5" s="355"/>
      <c r="BI5" s="349"/>
      <c r="BJ5" s="350"/>
      <c r="BK5" s="350"/>
      <c r="BL5" s="354"/>
      <c r="BM5" s="349"/>
      <c r="BN5" s="350"/>
      <c r="BO5" s="350"/>
      <c r="BP5" s="350"/>
      <c r="BQ5" s="354"/>
      <c r="BR5" s="357"/>
      <c r="BS5" s="350"/>
      <c r="BT5" s="355"/>
      <c r="BU5" s="349"/>
      <c r="BV5" s="350"/>
      <c r="BW5" s="350"/>
      <c r="BX5" s="350"/>
      <c r="BY5" s="350"/>
      <c r="BZ5" s="354"/>
      <c r="CA5" s="357"/>
      <c r="CB5" s="352"/>
      <c r="CC5" s="352"/>
      <c r="CD5" s="352"/>
      <c r="CE5" s="367"/>
      <c r="CF5" s="349"/>
      <c r="CG5" s="353"/>
      <c r="CH5" s="350"/>
      <c r="CI5" s="350"/>
      <c r="CJ5" s="350"/>
      <c r="CK5" s="350"/>
      <c r="CL5" s="354"/>
      <c r="CM5" s="357"/>
      <c r="CN5" s="350"/>
      <c r="CO5" s="355"/>
      <c r="CP5" s="349"/>
      <c r="CQ5" s="350"/>
      <c r="CR5" s="350"/>
      <c r="CS5" s="350"/>
      <c r="CT5" s="350"/>
      <c r="CU5" s="354"/>
      <c r="CV5" s="357"/>
      <c r="CW5" s="350"/>
      <c r="CX5" s="350"/>
      <c r="CY5" s="350"/>
      <c r="CZ5" s="350"/>
      <c r="DA5" s="355"/>
      <c r="DB5" s="349"/>
      <c r="DC5" s="350"/>
      <c r="DD5" s="350"/>
      <c r="DE5" s="350"/>
      <c r="DF5" s="350"/>
      <c r="DG5" s="355"/>
      <c r="DH5" s="349"/>
      <c r="DI5" s="350"/>
      <c r="DJ5" s="350"/>
      <c r="DK5" s="350"/>
      <c r="DL5" s="350"/>
      <c r="DM5" s="354"/>
      <c r="DN5" s="349"/>
      <c r="DO5" s="350"/>
      <c r="DP5" s="350"/>
      <c r="DQ5" s="350"/>
      <c r="DR5" s="350"/>
      <c r="DS5" s="354"/>
      <c r="DT5" s="357"/>
      <c r="DU5" s="350"/>
      <c r="DV5" s="350"/>
      <c r="DW5" s="354"/>
      <c r="DX5" s="357"/>
      <c r="DY5" s="350"/>
      <c r="DZ5" s="350"/>
      <c r="EA5" s="355"/>
      <c r="EB5" s="349"/>
      <c r="EC5" s="350"/>
      <c r="ED5" s="350"/>
      <c r="EE5" s="354"/>
      <c r="EF5" s="357"/>
      <c r="EG5" s="350"/>
      <c r="EH5" s="350"/>
      <c r="EI5" s="355"/>
      <c r="EJ5" s="349"/>
      <c r="EK5" s="350"/>
      <c r="EL5" s="354"/>
      <c r="EM5" s="357"/>
      <c r="EN5" s="350"/>
      <c r="EO5" s="350"/>
      <c r="EP5" s="350"/>
      <c r="EQ5" s="355"/>
      <c r="ER5" s="349"/>
      <c r="ES5" s="350"/>
      <c r="ET5" s="350"/>
      <c r="EU5" s="350"/>
      <c r="EV5" s="350"/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0"/>
      <c r="FL5" s="350"/>
      <c r="FM5" s="354"/>
      <c r="FN5" s="357"/>
      <c r="FO5" s="350"/>
      <c r="FP5" s="350"/>
      <c r="FQ5" s="350"/>
      <c r="FR5" s="350"/>
      <c r="FS5" s="350"/>
      <c r="FT5" s="350"/>
      <c r="FU5" s="350"/>
      <c r="FV5" s="350"/>
      <c r="FW5" s="350"/>
      <c r="FX5" s="350"/>
      <c r="FY5" s="350"/>
      <c r="FZ5" s="350"/>
      <c r="GA5" s="350"/>
      <c r="GB5" s="350"/>
      <c r="GC5" s="350"/>
      <c r="GD5" s="350"/>
      <c r="GE5" s="350"/>
      <c r="GF5" s="350"/>
      <c r="GG5" s="350"/>
      <c r="GH5" s="350"/>
      <c r="GI5" s="355"/>
      <c r="GJ5" s="349"/>
      <c r="GK5" s="350"/>
      <c r="GL5" s="350"/>
      <c r="GM5" s="350"/>
      <c r="GN5" s="350"/>
      <c r="GO5" s="350"/>
      <c r="GP5" s="350"/>
      <c r="GQ5" s="350"/>
      <c r="GR5" s="350"/>
      <c r="GS5" s="350"/>
      <c r="GT5" s="350"/>
      <c r="GU5" s="350"/>
      <c r="GV5" s="350"/>
      <c r="GW5" s="350"/>
      <c r="GX5" s="350"/>
      <c r="GY5" s="350"/>
      <c r="GZ5" s="350"/>
      <c r="HA5" s="350"/>
      <c r="HB5" s="350"/>
      <c r="HC5" s="350"/>
      <c r="HD5" s="350"/>
      <c r="HE5" s="354"/>
      <c r="HF5" s="357"/>
      <c r="HG5" s="350"/>
      <c r="HH5" s="350"/>
      <c r="HI5" s="350"/>
      <c r="HJ5" s="350"/>
      <c r="HK5" s="350"/>
      <c r="HL5" s="350"/>
      <c r="HM5" s="350"/>
      <c r="HN5" s="350"/>
      <c r="HO5" s="350"/>
      <c r="HP5" s="350"/>
      <c r="HQ5" s="350"/>
      <c r="HR5" s="350"/>
      <c r="HS5" s="350"/>
      <c r="HT5" s="350"/>
      <c r="HU5" s="350"/>
      <c r="HV5" s="350"/>
      <c r="HW5" s="350"/>
      <c r="HX5" s="350"/>
      <c r="HY5" s="350"/>
      <c r="HZ5" s="350"/>
      <c r="IA5" s="354"/>
    </row>
    <row r="6" spans="1:84" s="335" customFormat="1" ht="15">
      <c r="A6" s="341"/>
      <c r="B6" s="341"/>
      <c r="C6" s="341"/>
      <c r="D6" s="341"/>
      <c r="U6" s="340"/>
      <c r="Y6" s="340"/>
      <c r="Z6" s="340"/>
      <c r="AC6" s="336"/>
      <c r="AD6" s="336"/>
      <c r="AE6" s="336"/>
      <c r="AF6" s="336"/>
      <c r="AG6" s="337"/>
      <c r="AH6" s="337"/>
      <c r="AI6" s="337"/>
      <c r="AJ6" s="337"/>
      <c r="AK6" s="337"/>
      <c r="AM6" s="337"/>
      <c r="AN6" s="337"/>
      <c r="AO6" s="337"/>
      <c r="AP6" s="337"/>
      <c r="AQ6" s="340"/>
      <c r="AR6" s="337"/>
      <c r="AS6" s="337"/>
      <c r="AU6" s="337"/>
      <c r="AV6" s="337"/>
      <c r="AW6" s="337"/>
      <c r="AX6" s="337"/>
      <c r="AY6" s="337"/>
      <c r="AZ6" s="337"/>
      <c r="BA6" s="337"/>
      <c r="CA6" s="337"/>
      <c r="CB6" s="337"/>
      <c r="CC6" s="337"/>
      <c r="CD6" s="337"/>
      <c r="CF6" s="338"/>
    </row>
  </sheetData>
  <sheetProtection algorithmName="SHA-512" hashValue="BY30alQyaeRYPMBdwYGnCdOx6vh950eGgR29WSt4tZ3UbikbJSU1fxnBrVfQhjQw8yh/wuZyNHyvA0TRKLOGgw==" saltValue="+yHqBV63RJFV/n9kA4SBMA==" spinCount="100000" sheet="1" objects="1" scenarios="1"/>
  <mergeCells count="39">
    <mergeCell ref="R2:U2"/>
    <mergeCell ref="AT2:AU2"/>
    <mergeCell ref="AR2:AS2"/>
    <mergeCell ref="CV2:DA2"/>
    <mergeCell ref="DB2:DG2"/>
    <mergeCell ref="BR2:BT2"/>
    <mergeCell ref="BU2:BZ2"/>
    <mergeCell ref="CP2:CU2"/>
    <mergeCell ref="H2:J2"/>
    <mergeCell ref="AD2:AG2"/>
    <mergeCell ref="L2:M2"/>
    <mergeCell ref="CF2:CL2"/>
    <mergeCell ref="BM2:BQ2"/>
    <mergeCell ref="AY2:BB2"/>
    <mergeCell ref="AV2:AX2"/>
    <mergeCell ref="N2:O2"/>
    <mergeCell ref="CA2:CE2"/>
    <mergeCell ref="P2:Q2"/>
    <mergeCell ref="Z2:AC2"/>
    <mergeCell ref="AM2:AQ2"/>
    <mergeCell ref="AH2:AL2"/>
    <mergeCell ref="X2:Y2"/>
    <mergeCell ref="BC2:BE2"/>
    <mergeCell ref="BF2:BH2"/>
    <mergeCell ref="HF2:IA2"/>
    <mergeCell ref="DN2:DS2"/>
    <mergeCell ref="DT2:DW2"/>
    <mergeCell ref="DX2:EA2"/>
    <mergeCell ref="EB2:EE2"/>
    <mergeCell ref="EF2:EI2"/>
    <mergeCell ref="EJ2:EL2"/>
    <mergeCell ref="EM2:EP2"/>
    <mergeCell ref="EQ2:EQ3"/>
    <mergeCell ref="DH2:DM2"/>
    <mergeCell ref="ER2:FM2"/>
    <mergeCell ref="FN2:GI2"/>
    <mergeCell ref="GJ2:HE2"/>
    <mergeCell ref="BI2:BL2"/>
    <mergeCell ref="CM2:CO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사용자</cp:lastModifiedBy>
  <cp:lastPrinted>2019-08-26T11:15:50Z</cp:lastPrinted>
  <dcterms:created xsi:type="dcterms:W3CDTF">2010-09-06T02:52:46Z</dcterms:created>
  <dcterms:modified xsi:type="dcterms:W3CDTF">2019-09-16T12:18:56Z</dcterms:modified>
  <cp:category/>
  <cp:version/>
  <cp:contentType/>
  <cp:contentStatus/>
</cp:coreProperties>
</file>